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OneDrive\Desktop\Global Warming\"/>
    </mc:Choice>
  </mc:AlternateContent>
  <xr:revisionPtr revIDLastSave="0" documentId="13_ncr:1_{842605FA-86BC-4F15-A798-3B78162FE59B}" xr6:coauthVersionLast="47" xr6:coauthVersionMax="47" xr10:uidLastSave="{00000000-0000-0000-0000-000000000000}"/>
  <bookViews>
    <workbookView xWindow="-120" yWindow="-120" windowWidth="29040" windowHeight="15720" xr2:uid="{89D60B98-8F5F-4ED9-AFF1-940B8654169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P9" i="1"/>
  <c r="M9" i="1"/>
  <c r="L9" i="1"/>
  <c r="N9" i="1" s="1"/>
  <c r="F9" i="1"/>
  <c r="E9" i="1"/>
  <c r="E28" i="1" s="1"/>
  <c r="D9" i="1"/>
  <c r="F28" i="1" s="1"/>
  <c r="J28" i="1" s="1"/>
  <c r="N7" i="1"/>
  <c r="O9" i="1" l="1"/>
  <c r="D33" i="1" s="1"/>
  <c r="E33" i="1" s="1"/>
  <c r="K28" i="1"/>
  <c r="H28" i="1"/>
  <c r="H31" i="1" s="1"/>
  <c r="E31" i="1"/>
  <c r="K31" i="1" s="1"/>
  <c r="I31" i="1" l="1"/>
  <c r="F31" i="1"/>
  <c r="J31" i="1" s="1"/>
  <c r="L31" i="1" s="1"/>
  <c r="H33" i="1"/>
  <c r="F33" i="1" s="1"/>
  <c r="J33" i="1" s="1"/>
  <c r="I28" i="1"/>
  <c r="G28" i="1"/>
  <c r="L28" i="1"/>
  <c r="K33" i="1"/>
  <c r="D28" i="1" l="1"/>
  <c r="G31" i="1"/>
  <c r="L33" i="1"/>
  <c r="H36" i="1" s="1"/>
  <c r="H38" i="1" s="1"/>
  <c r="H40" i="1" s="1"/>
  <c r="H42" i="1" s="1"/>
  <c r="H44" i="1" s="1"/>
  <c r="H46" i="1" s="1"/>
  <c r="H48" i="1" s="1"/>
  <c r="H50" i="1" s="1"/>
  <c r="H52" i="1" s="1"/>
  <c r="H54" i="1" s="1"/>
  <c r="H56" i="1" s="1"/>
  <c r="H58" i="1" s="1"/>
  <c r="H60" i="1" s="1"/>
  <c r="H62" i="1" s="1"/>
  <c r="H64" i="1" s="1"/>
  <c r="H66" i="1" s="1"/>
  <c r="H68" i="1" s="1"/>
  <c r="H70" i="1" s="1"/>
  <c r="H72" i="1" s="1"/>
  <c r="H74" i="1" s="1"/>
  <c r="E35" i="1" l="1"/>
  <c r="E36" i="1" s="1"/>
  <c r="K36" i="1" l="1"/>
  <c r="F36" i="1"/>
  <c r="J36" i="1" s="1"/>
  <c r="L36" i="1" s="1"/>
  <c r="E37" i="1" l="1"/>
  <c r="E38" i="1" s="1"/>
  <c r="D36" i="1"/>
  <c r="I36" i="1"/>
  <c r="G36" i="1"/>
  <c r="F38" i="1" l="1"/>
  <c r="J38" i="1" s="1"/>
  <c r="K38" i="1"/>
  <c r="G38" i="1" l="1"/>
  <c r="I38" i="1"/>
  <c r="L38" i="1"/>
  <c r="E39" i="1" l="1"/>
  <c r="E40" i="1" s="1"/>
  <c r="D38" i="1"/>
  <c r="F40" i="1" l="1"/>
  <c r="J40" i="1" s="1"/>
  <c r="K40" i="1"/>
  <c r="I40" i="1" l="1"/>
  <c r="G40" i="1"/>
  <c r="L40" i="1"/>
  <c r="D40" i="1" l="1"/>
  <c r="E41" i="1"/>
  <c r="E42" i="1" s="1"/>
  <c r="K42" i="1" l="1"/>
  <c r="F42" i="1"/>
  <c r="J42" i="1" s="1"/>
  <c r="L42" i="1" s="1"/>
  <c r="E43" i="1" l="1"/>
  <c r="E44" i="1" s="1"/>
  <c r="D42" i="1"/>
  <c r="I42" i="1"/>
  <c r="G42" i="1"/>
  <c r="F44" i="1" l="1"/>
  <c r="J44" i="1" s="1"/>
  <c r="K44" i="1"/>
  <c r="G44" i="1" l="1"/>
  <c r="I44" i="1"/>
  <c r="L44" i="1"/>
  <c r="E45" i="1" l="1"/>
  <c r="E46" i="1" s="1"/>
  <c r="D44" i="1"/>
  <c r="F46" i="1" l="1"/>
  <c r="J46" i="1" s="1"/>
  <c r="K46" i="1"/>
  <c r="L46" i="1" l="1"/>
  <c r="G46" i="1"/>
  <c r="I46" i="1"/>
  <c r="D46" i="1"/>
  <c r="E47" i="1"/>
  <c r="E48" i="1" s="1"/>
  <c r="F48" i="1" l="1"/>
  <c r="J48" i="1" s="1"/>
  <c r="K48" i="1"/>
  <c r="I48" i="1" l="1"/>
  <c r="G48" i="1"/>
  <c r="L48" i="1"/>
  <c r="D48" i="1" l="1"/>
  <c r="E49" i="1"/>
  <c r="E50" i="1" s="1"/>
  <c r="F50" i="1" l="1"/>
  <c r="J50" i="1" s="1"/>
  <c r="K50" i="1"/>
  <c r="L50" i="1" l="1"/>
  <c r="D50" i="1"/>
  <c r="E51" i="1"/>
  <c r="E52" i="1" s="1"/>
  <c r="I50" i="1"/>
  <c r="G50" i="1"/>
  <c r="F52" i="1" l="1"/>
  <c r="J52" i="1" s="1"/>
  <c r="K52" i="1"/>
  <c r="L52" i="1" l="1"/>
  <c r="E53" i="1"/>
  <c r="E54" i="1" s="1"/>
  <c r="D52" i="1"/>
  <c r="I52" i="1"/>
  <c r="G52" i="1"/>
  <c r="K54" i="1" l="1"/>
  <c r="F54" i="1"/>
  <c r="J54" i="1" s="1"/>
  <c r="L54" i="1" s="1"/>
  <c r="I54" i="1" l="1"/>
  <c r="G54" i="1"/>
  <c r="E55" i="1"/>
  <c r="E56" i="1" s="1"/>
  <c r="D54" i="1"/>
  <c r="F56" i="1" l="1"/>
  <c r="J56" i="1" s="1"/>
  <c r="K56" i="1"/>
  <c r="I56" i="1" l="1"/>
  <c r="G56" i="1"/>
  <c r="L56" i="1"/>
  <c r="E57" i="1" l="1"/>
  <c r="E58" i="1" s="1"/>
  <c r="D56" i="1"/>
  <c r="K58" i="1" l="1"/>
  <c r="F58" i="1"/>
  <c r="J58" i="1" s="1"/>
  <c r="L58" i="1" s="1"/>
  <c r="D58" i="1" l="1"/>
  <c r="E59" i="1"/>
  <c r="E60" i="1" s="1"/>
  <c r="G58" i="1"/>
  <c r="I58" i="1"/>
  <c r="F60" i="1" l="1"/>
  <c r="J60" i="1" s="1"/>
  <c r="K60" i="1"/>
  <c r="I60" i="1" l="1"/>
  <c r="G60" i="1"/>
  <c r="L60" i="1"/>
  <c r="E61" i="1" l="1"/>
  <c r="E62" i="1" s="1"/>
  <c r="D60" i="1"/>
  <c r="F62" i="1" l="1"/>
  <c r="J62" i="1" s="1"/>
  <c r="K62" i="1"/>
  <c r="L62" i="1" l="1"/>
  <c r="G62" i="1"/>
  <c r="I62" i="1"/>
  <c r="E63" i="1"/>
  <c r="E64" i="1" s="1"/>
  <c r="D62" i="1"/>
  <c r="F64" i="1" l="1"/>
  <c r="J64" i="1" s="1"/>
  <c r="K64" i="1"/>
  <c r="L64" i="1" l="1"/>
  <c r="D64" i="1" s="1"/>
  <c r="E65" i="1"/>
  <c r="E66" i="1" s="1"/>
  <c r="I64" i="1"/>
  <c r="G64" i="1"/>
  <c r="K66" i="1" l="1"/>
  <c r="F66" i="1"/>
  <c r="J66" i="1" s="1"/>
  <c r="L66" i="1" l="1"/>
  <c r="D66" i="1"/>
  <c r="E67" i="1"/>
  <c r="E68" i="1" s="1"/>
  <c r="I66" i="1"/>
  <c r="G66" i="1"/>
  <c r="F68" i="1" l="1"/>
  <c r="J68" i="1" s="1"/>
  <c r="K68" i="1"/>
  <c r="I68" i="1" l="1"/>
  <c r="G68" i="1"/>
  <c r="L68" i="1"/>
  <c r="E69" i="1" l="1"/>
  <c r="E70" i="1" s="1"/>
  <c r="D68" i="1"/>
  <c r="K70" i="1" l="1"/>
  <c r="F70" i="1"/>
  <c r="J70" i="1" s="1"/>
  <c r="L70" i="1" s="1"/>
  <c r="D70" i="1" l="1"/>
  <c r="E71" i="1"/>
  <c r="E72" i="1" s="1"/>
  <c r="G70" i="1"/>
  <c r="I70" i="1"/>
  <c r="F72" i="1" l="1"/>
  <c r="J72" i="1" s="1"/>
  <c r="K72" i="1"/>
  <c r="G72" i="1" l="1"/>
  <c r="I72" i="1"/>
  <c r="L72" i="1"/>
  <c r="D72" i="1" l="1"/>
  <c r="E73" i="1"/>
  <c r="E74" i="1" s="1"/>
  <c r="K74" i="1" l="1"/>
  <c r="F74" i="1"/>
  <c r="R9" i="1"/>
  <c r="J74" i="1" l="1"/>
  <c r="L74" i="1" s="1"/>
  <c r="D74" i="1" s="1"/>
  <c r="U9" i="1" s="1"/>
  <c r="T9" i="1"/>
  <c r="S9" i="1"/>
  <c r="I74" i="1"/>
  <c r="G74" i="1"/>
</calcChain>
</file>

<file path=xl/sharedStrings.xml><?xml version="1.0" encoding="utf-8"?>
<sst xmlns="http://schemas.openxmlformats.org/spreadsheetml/2006/main" count="98" uniqueCount="71">
  <si>
    <r>
      <t xml:space="preserve">This model uses proven psychrometic equations (see link below or look at code in cell) and correlation from attached graphs.  The variables in </t>
    </r>
    <r>
      <rPr>
        <b/>
        <sz val="14"/>
        <color rgb="FF00B050"/>
        <rFont val="Aptos Narrow"/>
        <family val="2"/>
        <scheme val="minor"/>
      </rPr>
      <t>Green</t>
    </r>
    <r>
      <rPr>
        <b/>
        <sz val="14"/>
        <color theme="1"/>
        <rFont val="Aptos Narrow"/>
        <family val="2"/>
        <scheme val="minor"/>
      </rPr>
      <t xml:space="preserve"> boxes can be changed</t>
    </r>
    <r>
      <rPr>
        <b/>
        <sz val="14"/>
        <color rgb="FFFF0000"/>
        <rFont val="Aptos Narrow"/>
        <family val="2"/>
        <scheme val="minor"/>
      </rPr>
      <t xml:space="preserve"> (with in range)</t>
    </r>
    <r>
      <rPr>
        <b/>
        <sz val="14"/>
        <color theme="1"/>
        <rFont val="Aptos Narrow"/>
        <family val="2"/>
        <scheme val="minor"/>
      </rPr>
      <t xml:space="preserve"> all other changes will cause errors in results.</t>
    </r>
  </si>
  <si>
    <t>Online Interactive Psychrometric Chart (flycarpet.net)</t>
  </si>
  <si>
    <t>Input Variables</t>
  </si>
  <si>
    <t>Oean and Ice for total earth. mm/yr/unit of earth</t>
  </si>
  <si>
    <t>Land for total earth. mm/yr/unit of earth</t>
  </si>
  <si>
    <t>Total Earth. mm/yr/unit of earth</t>
  </si>
  <si>
    <t>Change in Earth's ET including Plume, %</t>
  </si>
  <si>
    <t>% Ocean of Earth</t>
  </si>
  <si>
    <t xml:space="preserve">  From Trenberth data total oean or land with clouds</t>
  </si>
  <si>
    <r>
      <rPr>
        <b/>
        <sz val="14"/>
        <color rgb="FFFF0000"/>
        <rFont val="Aptos Narrow"/>
        <family val="2"/>
        <scheme val="minor"/>
      </rPr>
      <t>range 1970 to 2024</t>
    </r>
    <r>
      <rPr>
        <b/>
        <sz val="14"/>
        <color theme="1"/>
        <rFont val="Aptos Narrow"/>
        <family val="2"/>
        <scheme val="minor"/>
      </rPr>
      <t xml:space="preserve"> starting date</t>
    </r>
  </si>
  <si>
    <t>Starting temp 'C</t>
  </si>
  <si>
    <t>Starting SH</t>
  </si>
  <si>
    <t>Plume assumption for Land % change</t>
  </si>
  <si>
    <t>Plume assumption for land ET change</t>
  </si>
  <si>
    <t>% ET change of special parcel</t>
  </si>
  <si>
    <t>% of  Land area that is special parcel no Plume</t>
  </si>
  <si>
    <t xml:space="preserve">Changei in axis resulting  in % Land under zeneth of sun </t>
  </si>
  <si>
    <t>Change in size of land no change in axis</t>
  </si>
  <si>
    <t>final SH, g/kg(da)</t>
  </si>
  <si>
    <t>final Temp, 'C</t>
  </si>
  <si>
    <t>Temp change, 'C</t>
  </si>
  <si>
    <t>% Clouds</t>
  </si>
  <si>
    <t>Examples</t>
  </si>
  <si>
    <t>example of one set of changes needed to produce 1975 to 2025 data</t>
  </si>
  <si>
    <t>example of high negative Global ET change no change in land mass, from 2024</t>
  </si>
  <si>
    <t>example of positive ET (add water to the atmosphere)</t>
  </si>
  <si>
    <t>example of -5% shift in earths axis (land mass distribution)</t>
  </si>
  <si>
    <t>example of +5% shift in earths axis (land mass distribution)</t>
  </si>
  <si>
    <t>example of decreasing the total land on earth</t>
  </si>
  <si>
    <t>example of increasing the total land on earth</t>
  </si>
  <si>
    <t>example of changing all variables in the negative direction</t>
  </si>
  <si>
    <t>example of changing all variables in the positive direction</t>
  </si>
  <si>
    <t>CC</t>
  </si>
  <si>
    <t>SH</t>
  </si>
  <si>
    <t>Temp</t>
  </si>
  <si>
    <t>RH</t>
  </si>
  <si>
    <t>Enthalpy</t>
  </si>
  <si>
    <t>Dew Temp.</t>
  </si>
  <si>
    <t>Pws</t>
  </si>
  <si>
    <t>Pw</t>
  </si>
  <si>
    <t>VPD</t>
  </si>
  <si>
    <t>%</t>
  </si>
  <si>
    <t>g/kg(da)</t>
  </si>
  <si>
    <t>'C</t>
  </si>
  <si>
    <t>kJ/kg(d.a)</t>
  </si>
  <si>
    <t>hPa</t>
  </si>
  <si>
    <t>VPD vs Enthalpy Sigmodial fit</t>
  </si>
  <si>
    <t>VPD vs Clouds</t>
  </si>
  <si>
    <t>Step #1  pick starting year - from NOAA data estimate Temp and SH</t>
  </si>
  <si>
    <t>Starting condition (2011)</t>
  </si>
  <si>
    <t xml:space="preserve">NOAA and Dubal (CERES) fit to data </t>
  </si>
  <si>
    <t xml:space="preserve">Climate Explorer fit to data </t>
  </si>
  <si>
    <t>Step #2 chose a ET (SH) change of land special parcel</t>
  </si>
  <si>
    <t>EN= L / (1 + exp(-k*(VPD-X')) + b</t>
  </si>
  <si>
    <t>EN= L / (1 + exp((VPD-X')/k)) + b</t>
  </si>
  <si>
    <t>Step #2 chose  size of special parcel % of land</t>
  </si>
  <si>
    <t>L=</t>
  </si>
  <si>
    <t>Step #4 calculate landt change in SH at same Enthalpy</t>
  </si>
  <si>
    <t>b=</t>
  </si>
  <si>
    <t>Step #3 chose a total earth % of land area</t>
  </si>
  <si>
    <t>k=</t>
  </si>
  <si>
    <t>calculate ET change of whole earth inclucing plume</t>
  </si>
  <si>
    <t>deff</t>
  </si>
  <si>
    <t>X'=</t>
  </si>
  <si>
    <t xml:space="preserve">Step #5  </t>
  </si>
  <si>
    <t>Repeat until no temp change</t>
  </si>
  <si>
    <t>start iteration to no change in all calculated items</t>
  </si>
  <si>
    <t>Final conditions</t>
  </si>
  <si>
    <t>Created by Charles Blaisdell last edit  (03/6/2026</t>
  </si>
  <si>
    <t>Calculated input variables</t>
  </si>
  <si>
    <t>Cloud Reduction Global Warming, CRGW, Model with Sigmodial fit to VPD vs Enthalpy and Clouds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</si>
</sst>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"/>
    <numFmt numFmtId="165" formatCode="0.0%"/>
    <numFmt numFmtId="166" formatCode="0.000"/>
    <numFmt numFmtId="167" formatCode="0.0"/>
    <numFmt numFmtId="168" formatCode="#,##0.000"/>
    <numFmt numFmtId="169" formatCode="_(* #,##0.0_);_(* \(#,##0.0\);_(* &quot;-&quot;??_);_(@_)"/>
    <numFmt numFmtId="170" formatCode="_(* #,##0_);_(* \(#,##0\);_(* &quot;-&quot;??_);_(@_)"/>
    <numFmt numFmtId="171" formatCode="0.0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B050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14"/>
      <name val="Aptos Narrow"/>
      <family val="2"/>
      <scheme val="minor"/>
    </font>
    <font>
      <b/>
      <sz val="14"/>
      <color rgb="FF0070C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8"/>
      <name val="Aptos Narrow"/>
      <family val="2"/>
      <scheme val="minor"/>
    </font>
    <font>
      <b/>
      <sz val="14"/>
      <color rgb="FF00B0F0"/>
      <name val="Aptos Narrow"/>
      <family val="2"/>
      <scheme val="minor"/>
    </font>
    <font>
      <b/>
      <sz val="2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26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165" fontId="8" fillId="0" borderId="0" xfId="2" applyNumberFormat="1" applyFont="1" applyFill="1" applyAlignment="1" applyProtection="1">
      <alignment wrapText="1"/>
    </xf>
    <xf numFmtId="165" fontId="8" fillId="0" borderId="0" xfId="2" applyNumberFormat="1" applyFont="1" applyAlignment="1" applyProtection="1">
      <alignment wrapText="1"/>
    </xf>
    <xf numFmtId="4" fontId="8" fillId="0" borderId="0" xfId="1" applyNumberFormat="1" applyFont="1" applyFill="1" applyAlignment="1" applyProtection="1">
      <alignment wrapText="1"/>
    </xf>
    <xf numFmtId="0" fontId="8" fillId="0" borderId="0" xfId="0" applyFont="1"/>
    <xf numFmtId="0" fontId="3" fillId="2" borderId="2" xfId="0" applyFont="1" applyFill="1" applyBorder="1" applyProtection="1">
      <protection locked="0"/>
    </xf>
    <xf numFmtId="2" fontId="8" fillId="0" borderId="0" xfId="0" applyNumberFormat="1" applyFont="1"/>
    <xf numFmtId="165" fontId="8" fillId="0" borderId="0" xfId="2" applyNumberFormat="1" applyFont="1" applyFill="1" applyProtection="1"/>
    <xf numFmtId="165" fontId="8" fillId="0" borderId="0" xfId="2" applyNumberFormat="1" applyFont="1" applyProtection="1"/>
    <xf numFmtId="4" fontId="8" fillId="0" borderId="0" xfId="1" applyNumberFormat="1" applyFont="1" applyFill="1" applyProtection="1"/>
    <xf numFmtId="3" fontId="8" fillId="0" borderId="0" xfId="1" applyNumberFormat="1" applyFont="1" applyAlignment="1" applyProtection="1">
      <alignment horizontal="center"/>
    </xf>
    <xf numFmtId="1" fontId="8" fillId="0" borderId="0" xfId="0" applyNumberFormat="1" applyFont="1"/>
    <xf numFmtId="166" fontId="8" fillId="0" borderId="0" xfId="0" applyNumberFormat="1" applyFont="1"/>
    <xf numFmtId="0" fontId="4" fillId="0" borderId="0" xfId="0" applyFont="1" applyAlignment="1">
      <alignment horizontal="right"/>
    </xf>
    <xf numFmtId="3" fontId="4" fillId="0" borderId="0" xfId="1" applyNumberFormat="1" applyFont="1" applyAlignment="1" applyProtection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/>
    <xf numFmtId="167" fontId="4" fillId="0" borderId="0" xfId="0" applyNumberFormat="1" applyFont="1"/>
    <xf numFmtId="3" fontId="8" fillId="0" borderId="0" xfId="2" applyNumberFormat="1" applyFont="1" applyAlignment="1" applyProtection="1">
      <alignment horizontal="center"/>
    </xf>
    <xf numFmtId="3" fontId="4" fillId="0" borderId="0" xfId="2" applyNumberFormat="1" applyFont="1" applyAlignment="1" applyProtection="1">
      <alignment horizontal="center"/>
    </xf>
    <xf numFmtId="169" fontId="4" fillId="0" borderId="0" xfId="0" applyNumberFormat="1" applyFont="1"/>
    <xf numFmtId="2" fontId="10" fillId="0" borderId="0" xfId="2" applyNumberFormat="1" applyFont="1" applyAlignment="1" applyProtection="1">
      <alignment horizontal="center"/>
    </xf>
    <xf numFmtId="167" fontId="3" fillId="0" borderId="0" xfId="2" applyNumberFormat="1" applyFont="1" applyAlignment="1" applyProtection="1">
      <alignment horizontal="center"/>
    </xf>
    <xf numFmtId="165" fontId="4" fillId="0" borderId="0" xfId="2" applyNumberFormat="1" applyFont="1" applyProtection="1"/>
    <xf numFmtId="2" fontId="14" fillId="0" borderId="0" xfId="0" applyNumberFormat="1" applyFont="1"/>
    <xf numFmtId="170" fontId="4" fillId="0" borderId="0" xfId="1" applyNumberFormat="1" applyFont="1" applyProtection="1"/>
    <xf numFmtId="169" fontId="4" fillId="0" borderId="0" xfId="1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2" fontId="3" fillId="0" borderId="0" xfId="0" applyNumberFormat="1" applyFont="1"/>
    <xf numFmtId="10" fontId="4" fillId="0" borderId="0" xfId="0" applyNumberFormat="1" applyFont="1"/>
    <xf numFmtId="0" fontId="3" fillId="0" borderId="0" xfId="0" applyFont="1"/>
    <xf numFmtId="168" fontId="4" fillId="0" borderId="0" xfId="1" applyNumberFormat="1" applyFont="1" applyFill="1" applyProtection="1"/>
    <xf numFmtId="4" fontId="4" fillId="0" borderId="0" xfId="1" applyNumberFormat="1" applyFont="1" applyFill="1" applyProtection="1"/>
    <xf numFmtId="168" fontId="4" fillId="0" borderId="0" xfId="1" applyNumberFormat="1" applyFont="1" applyProtection="1"/>
    <xf numFmtId="0" fontId="4" fillId="0" borderId="0" xfId="0" applyFont="1" applyAlignment="1">
      <alignment horizontal="right" textRotation="90"/>
    </xf>
    <xf numFmtId="0" fontId="4" fillId="0" borderId="0" xfId="0" applyFont="1" applyAlignment="1">
      <alignment textRotation="90"/>
    </xf>
    <xf numFmtId="171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textRotation="90" wrapText="1"/>
    </xf>
    <xf numFmtId="2" fontId="4" fillId="3" borderId="0" xfId="0" applyNumberFormat="1" applyFont="1" applyFill="1"/>
    <xf numFmtId="0" fontId="4" fillId="3" borderId="0" xfId="0" applyFont="1" applyFill="1"/>
    <xf numFmtId="43" fontId="4" fillId="0" borderId="0" xfId="1" applyFont="1" applyProtection="1"/>
    <xf numFmtId="4" fontId="4" fillId="0" borderId="0" xfId="1" applyNumberFormat="1" applyFont="1" applyProtection="1"/>
    <xf numFmtId="0" fontId="4" fillId="0" borderId="0" xfId="0" quotePrefix="1" applyFont="1"/>
    <xf numFmtId="0" fontId="8" fillId="0" borderId="0" xfId="0" applyFont="1" applyAlignment="1">
      <alignment horizontal="right" wrapText="1"/>
    </xf>
    <xf numFmtId="0" fontId="8" fillId="0" borderId="2" xfId="0" applyFont="1" applyBorder="1" applyAlignment="1">
      <alignment horizontal="center" wrapText="1"/>
    </xf>
    <xf numFmtId="164" fontId="8" fillId="0" borderId="0" xfId="0" applyNumberFormat="1" applyFont="1" applyAlignment="1">
      <alignment wrapText="1"/>
    </xf>
    <xf numFmtId="1" fontId="8" fillId="0" borderId="0" xfId="0" applyNumberFormat="1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vertical="center" wrapText="1"/>
    </xf>
    <xf numFmtId="9" fontId="9" fillId="0" borderId="2" xfId="2" applyFont="1" applyBorder="1" applyAlignment="1" applyProtection="1">
      <alignment vertical="center" wrapText="1"/>
    </xf>
    <xf numFmtId="9" fontId="5" fillId="0" borderId="2" xfId="0" applyNumberFormat="1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8" fillId="0" borderId="6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1" fontId="8" fillId="0" borderId="2" xfId="0" applyNumberFormat="1" applyFont="1" applyBorder="1" applyAlignment="1">
      <alignment wrapText="1"/>
    </xf>
    <xf numFmtId="1" fontId="8" fillId="0" borderId="2" xfId="0" applyNumberFormat="1" applyFont="1" applyBorder="1" applyAlignment="1">
      <alignment horizontal="center" wrapText="1"/>
    </xf>
    <xf numFmtId="9" fontId="8" fillId="0" borderId="2" xfId="2" applyFont="1" applyBorder="1" applyAlignment="1" applyProtection="1">
      <alignment wrapText="1"/>
    </xf>
    <xf numFmtId="0" fontId="8" fillId="0" borderId="2" xfId="0" applyFont="1" applyBorder="1" applyAlignment="1">
      <alignment wrapText="1"/>
    </xf>
    <xf numFmtId="164" fontId="8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0" fontId="11" fillId="0" borderId="2" xfId="2" applyNumberFormat="1" applyFont="1" applyBorder="1" applyProtection="1"/>
    <xf numFmtId="9" fontId="11" fillId="0" borderId="2" xfId="0" applyNumberFormat="1" applyFont="1" applyBorder="1"/>
    <xf numFmtId="0" fontId="8" fillId="0" borderId="2" xfId="0" applyFont="1" applyBorder="1"/>
    <xf numFmtId="1" fontId="8" fillId="0" borderId="2" xfId="0" applyNumberFormat="1" applyFont="1" applyBorder="1"/>
    <xf numFmtId="166" fontId="8" fillId="0" borderId="1" xfId="0" applyNumberFormat="1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/>
    <xf numFmtId="0" fontId="13" fillId="0" borderId="0" xfId="0" applyFont="1" applyAlignment="1">
      <alignment horizontal="center"/>
    </xf>
    <xf numFmtId="0" fontId="6" fillId="0" borderId="0" xfId="0" applyFont="1"/>
    <xf numFmtId="0" fontId="10" fillId="0" borderId="0" xfId="0" applyFont="1"/>
    <xf numFmtId="0" fontId="8" fillId="0" borderId="0" xfId="0" applyFont="1" applyAlignment="1">
      <alignment horizontal="right"/>
    </xf>
    <xf numFmtId="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9" fontId="8" fillId="0" borderId="0" xfId="2" applyFont="1" applyAlignment="1" applyProtection="1">
      <alignment horizontal="center"/>
    </xf>
    <xf numFmtId="165" fontId="8" fillId="0" borderId="0" xfId="2" applyNumberFormat="1" applyFont="1" applyAlignment="1" applyProtection="1">
      <alignment horizontal="center"/>
    </xf>
    <xf numFmtId="1" fontId="8" fillId="0" borderId="0" xfId="0" applyNumberFormat="1" applyFont="1" applyAlignment="1">
      <alignment horizontal="center"/>
    </xf>
    <xf numFmtId="10" fontId="8" fillId="0" borderId="0" xfId="2" applyNumberFormat="1" applyFont="1" applyAlignment="1" applyProtection="1">
      <alignment horizontal="center"/>
    </xf>
    <xf numFmtId="2" fontId="10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168" fontId="8" fillId="0" borderId="0" xfId="0" applyNumberFormat="1" applyFont="1"/>
    <xf numFmtId="3" fontId="8" fillId="0" borderId="0" xfId="0" applyNumberFormat="1" applyFont="1" applyAlignment="1">
      <alignment horizontal="center"/>
    </xf>
    <xf numFmtId="1" fontId="4" fillId="0" borderId="0" xfId="0" applyNumberFormat="1" applyFont="1"/>
    <xf numFmtId="9" fontId="4" fillId="0" borderId="0" xfId="2" applyFont="1" applyAlignment="1" applyProtection="1">
      <alignment horizontal="center"/>
    </xf>
    <xf numFmtId="165" fontId="4" fillId="0" borderId="0" xfId="2" applyNumberFormat="1" applyFont="1" applyAlignment="1" applyProtection="1">
      <alignment horizontal="center"/>
    </xf>
    <xf numFmtId="1" fontId="4" fillId="0" borderId="0" xfId="0" applyNumberFormat="1" applyFont="1" applyAlignment="1">
      <alignment horizontal="center"/>
    </xf>
    <xf numFmtId="10" fontId="4" fillId="0" borderId="0" xfId="2" applyNumberFormat="1" applyFont="1" applyAlignment="1" applyProtection="1">
      <alignment horizontal="center"/>
    </xf>
    <xf numFmtId="167" fontId="3" fillId="0" borderId="0" xfId="0" applyNumberFormat="1" applyFont="1" applyAlignment="1">
      <alignment horizontal="center"/>
    </xf>
    <xf numFmtId="10" fontId="4" fillId="0" borderId="0" xfId="2" applyNumberFormat="1" applyFont="1" applyAlignment="1" applyProtection="1">
      <alignment horizontal="center" vertical="top"/>
    </xf>
    <xf numFmtId="10" fontId="4" fillId="0" borderId="0" xfId="2" applyNumberFormat="1" applyFont="1" applyProtection="1"/>
    <xf numFmtId="166" fontId="3" fillId="0" borderId="0" xfId="0" applyNumberFormat="1" applyFont="1"/>
    <xf numFmtId="2" fontId="0" fillId="0" borderId="0" xfId="0" applyNumberFormat="1"/>
    <xf numFmtId="0" fontId="4" fillId="0" borderId="0" xfId="0" applyFont="1" applyAlignment="1">
      <alignment horizontal="right" indent="1"/>
    </xf>
    <xf numFmtId="2" fontId="3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right" inden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2" fontId="15" fillId="0" borderId="0" xfId="0" applyNumberFormat="1" applyFont="1"/>
    <xf numFmtId="2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10" fillId="2" borderId="2" xfId="0" applyFont="1" applyFill="1" applyBorder="1" applyAlignment="1" applyProtection="1">
      <alignment horizontal="center"/>
      <protection locked="0"/>
    </xf>
    <xf numFmtId="9" fontId="10" fillId="2" borderId="2" xfId="0" applyNumberFormat="1" applyFont="1" applyFill="1" applyBorder="1" applyAlignment="1" applyProtection="1">
      <alignment horizontal="center"/>
      <protection locked="0"/>
    </xf>
    <xf numFmtId="165" fontId="10" fillId="2" borderId="2" xfId="2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3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2" fontId="12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Clouds vs VPD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69850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0384561584617768E-2"/>
                  <c:y val="0.206823370403701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Linear fit</a:t>
                    </a:r>
                  </a:p>
                  <a:p>
                    <a:pPr>
                      <a:defRPr sz="1600" b="1"/>
                    </a:pPr>
                    <a:r>
                      <a:rPr lang="en-US" baseline="0"/>
                      <a:t>y = -6.9597x + 90.232</a:t>
                    </a:r>
                    <a:br>
                      <a:rPr lang="en-US" baseline="0"/>
                    </a:br>
                    <a:r>
                      <a:rPr lang="en-US" baseline="0"/>
                      <a:t>R² = 0.3758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solidFill>
                    <a:schemeClr val="accent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'[1]cloud sigma 2.1'!$F$17:$F$53</c:f>
              <c:numCache>
                <c:formatCode>General</c:formatCode>
                <c:ptCount val="37"/>
                <c:pt idx="0">
                  <c:v>3.8946594762472415</c:v>
                </c:pt>
                <c:pt idx="1">
                  <c:v>3.8488813587877679</c:v>
                </c:pt>
                <c:pt idx="2">
                  <c:v>3.8673111090641257</c:v>
                </c:pt>
                <c:pt idx="3">
                  <c:v>3.9255296668383508</c:v>
                </c:pt>
                <c:pt idx="4">
                  <c:v>3.920967635903601</c:v>
                </c:pt>
                <c:pt idx="5">
                  <c:v>3.9650918822603263</c:v>
                </c:pt>
                <c:pt idx="6">
                  <c:v>3.9374359327228117</c:v>
                </c:pt>
                <c:pt idx="7">
                  <c:v>3.9338813130871646</c:v>
                </c:pt>
                <c:pt idx="8">
                  <c:v>3.9440630181452985</c:v>
                </c:pt>
                <c:pt idx="9">
                  <c:v>3.9715401800441619</c:v>
                </c:pt>
                <c:pt idx="10">
                  <c:v>3.9916034853967197</c:v>
                </c:pt>
                <c:pt idx="11">
                  <c:v>4.0211674920103864</c:v>
                </c:pt>
                <c:pt idx="12">
                  <c:v>4.06711158460398</c:v>
                </c:pt>
                <c:pt idx="13">
                  <c:v>4.0169911209802809</c:v>
                </c:pt>
                <c:pt idx="14">
                  <c:v>4.0302984251920204</c:v>
                </c:pt>
                <c:pt idx="15">
                  <c:v>3.981977456859644</c:v>
                </c:pt>
                <c:pt idx="16">
                  <c:v>4.0684305637749336</c:v>
                </c:pt>
                <c:pt idx="17">
                  <c:v>4.0557197061061583</c:v>
                </c:pt>
                <c:pt idx="18">
                  <c:v>4.0762941362766849</c:v>
                </c:pt>
                <c:pt idx="19">
                  <c:v>4.1130491674421688</c:v>
                </c:pt>
                <c:pt idx="20">
                  <c:v>4.0906248719112348</c:v>
                </c:pt>
                <c:pt idx="21">
                  <c:v>4.0593836793560545</c:v>
                </c:pt>
                <c:pt idx="22">
                  <c:v>4.0597210638120824</c:v>
                </c:pt>
                <c:pt idx="23">
                  <c:v>4.0398463424244735</c:v>
                </c:pt>
                <c:pt idx="24">
                  <c:v>4.0413443902189954</c:v>
                </c:pt>
                <c:pt idx="25">
                  <c:v>4.061178209225476</c:v>
                </c:pt>
                <c:pt idx="26">
                  <c:v>4.0659816968403284</c:v>
                </c:pt>
                <c:pt idx="27">
                  <c:v>4.0135402956757549</c:v>
                </c:pt>
                <c:pt idx="28">
                  <c:v>4.0528913343009698</c:v>
                </c:pt>
                <c:pt idx="29">
                  <c:v>4.0649898042148962</c:v>
                </c:pt>
                <c:pt idx="30">
                  <c:v>4.055503958709318</c:v>
                </c:pt>
                <c:pt idx="31">
                  <c:v>4.1199542889426581</c:v>
                </c:pt>
                <c:pt idx="32">
                  <c:v>4.1904572515996446</c:v>
                </c:pt>
                <c:pt idx="33">
                  <c:v>4.1412261804845265</c:v>
                </c:pt>
                <c:pt idx="34">
                  <c:v>4.2239308373054101</c:v>
                </c:pt>
                <c:pt idx="35">
                  <c:v>4.1583926402883691</c:v>
                </c:pt>
                <c:pt idx="36">
                  <c:v>4.1968135209012747</c:v>
                </c:pt>
              </c:numCache>
            </c:numRef>
          </c:xVal>
          <c:yVal>
            <c:numRef>
              <c:f>'[1]cloud sigma 2.1'!$H$17:$H$53</c:f>
              <c:numCache>
                <c:formatCode>General</c:formatCode>
                <c:ptCount val="37"/>
                <c:pt idx="0">
                  <c:v>63.091791666666673</c:v>
                </c:pt>
                <c:pt idx="1">
                  <c:v>63.776724999999999</c:v>
                </c:pt>
                <c:pt idx="2">
                  <c:v>63.833091666666661</c:v>
                </c:pt>
                <c:pt idx="3">
                  <c:v>62.888327272727267</c:v>
                </c:pt>
                <c:pt idx="4">
                  <c:v>62.286375</c:v>
                </c:pt>
                <c:pt idx="5">
                  <c:v>63.294199999999996</c:v>
                </c:pt>
                <c:pt idx="6">
                  <c:v>63.335849999999994</c:v>
                </c:pt>
                <c:pt idx="7">
                  <c:v>62.004258333333325</c:v>
                </c:pt>
                <c:pt idx="8">
                  <c:v>62.541608333333329</c:v>
                </c:pt>
                <c:pt idx="9">
                  <c:v>62.65849166666667</c:v>
                </c:pt>
                <c:pt idx="10">
                  <c:v>63.221624999999996</c:v>
                </c:pt>
                <c:pt idx="11">
                  <c:v>63.256450000000001</c:v>
                </c:pt>
                <c:pt idx="12">
                  <c:v>63.719316666666664</c:v>
                </c:pt>
                <c:pt idx="13">
                  <c:v>63.389633333333343</c:v>
                </c:pt>
                <c:pt idx="14">
                  <c:v>63.350299999999997</c:v>
                </c:pt>
                <c:pt idx="15">
                  <c:v>63.081724999999999</c:v>
                </c:pt>
                <c:pt idx="16">
                  <c:v>63.255141666666667</c:v>
                </c:pt>
                <c:pt idx="17">
                  <c:v>62.193566666666662</c:v>
                </c:pt>
                <c:pt idx="18">
                  <c:v>62.34684166666667</c:v>
                </c:pt>
                <c:pt idx="19">
                  <c:v>61.51615833333333</c:v>
                </c:pt>
                <c:pt idx="20">
                  <c:v>61.136208333333322</c:v>
                </c:pt>
                <c:pt idx="21">
                  <c:v>60.533574999999992</c:v>
                </c:pt>
                <c:pt idx="22">
                  <c:v>60.816575</c:v>
                </c:pt>
                <c:pt idx="23">
                  <c:v>61.087941666666666</c:v>
                </c:pt>
                <c:pt idx="24">
                  <c:v>61.178458333333332</c:v>
                </c:pt>
                <c:pt idx="25">
                  <c:v>60.936283333333328</c:v>
                </c:pt>
                <c:pt idx="26">
                  <c:v>60.811675000000001</c:v>
                </c:pt>
                <c:pt idx="27">
                  <c:v>60.951716666666648</c:v>
                </c:pt>
                <c:pt idx="28">
                  <c:v>61.781266666666674</c:v>
                </c:pt>
                <c:pt idx="29">
                  <c:v>61.360599999999998</c:v>
                </c:pt>
                <c:pt idx="30">
                  <c:v>61.632425000000005</c:v>
                </c:pt>
                <c:pt idx="31">
                  <c:v>61.727483333333339</c:v>
                </c:pt>
                <c:pt idx="32">
                  <c:v>61.471350000000001</c:v>
                </c:pt>
                <c:pt idx="33">
                  <c:v>61.181758333333335</c:v>
                </c:pt>
                <c:pt idx="34">
                  <c:v>61.350133333333325</c:v>
                </c:pt>
                <c:pt idx="35">
                  <c:v>61.37135</c:v>
                </c:pt>
                <c:pt idx="36">
                  <c:v>61.353891666666669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23-4E60-97C9-BBEEA65FAEE9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'[1]cloud sigma 2.1'!$AA$4:$AA$54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</c:numCache>
            </c:numRef>
          </c:xVal>
          <c:yVal>
            <c:numRef>
              <c:f>'[1]cloud sigma 2.1'!$AB$4:$AB$54</c:f>
              <c:numCache>
                <c:formatCode>General</c:formatCode>
                <c:ptCount val="51"/>
                <c:pt idx="0">
                  <c:v>96.08342772032357</c:v>
                </c:pt>
                <c:pt idx="1">
                  <c:v>95.549664473771301</c:v>
                </c:pt>
                <c:pt idx="2">
                  <c:v>94.946983776458652</c:v>
                </c:pt>
                <c:pt idx="3">
                  <c:v>94.267582410113135</c:v>
                </c:pt>
                <c:pt idx="4">
                  <c:v>93.503083087133589</c:v>
                </c:pt>
                <c:pt idx="5">
                  <c:v>92.644582306518103</c:v>
                </c:pt>
                <c:pt idx="6">
                  <c:v>91.68273035060777</c:v>
                </c:pt>
                <c:pt idx="7">
                  <c:v>90.607850398072898</c:v>
                </c:pt>
                <c:pt idx="8">
                  <c:v>89.410103776408221</c:v>
                </c:pt>
                <c:pt idx="9">
                  <c:v>88.079707797788231</c:v>
                </c:pt>
                <c:pt idx="10">
                  <c:v>86.607211167592638</c:v>
                </c:pt>
                <c:pt idx="11">
                  <c:v>84.983829371015261</c:v>
                </c:pt>
                <c:pt idx="12">
                  <c:v>83.201838513392445</c:v>
                </c:pt>
                <c:pt idx="13">
                  <c:v>81.255020700425874</c:v>
                </c:pt>
                <c:pt idx="14">
                  <c:v>79.139147267395515</c:v>
                </c:pt>
                <c:pt idx="15">
                  <c:v>76.852478349901759</c:v>
                </c:pt>
                <c:pt idx="16">
                  <c:v>74.396249132475788</c:v>
                </c:pt>
                <c:pt idx="17">
                  <c:v>71.775105695774002</c:v>
                </c:pt>
                <c:pt idx="18">
                  <c:v>68.997448112761248</c:v>
                </c:pt>
                <c:pt idx="19">
                  <c:v>66.075636876581711</c:v>
                </c:pt>
                <c:pt idx="20">
                  <c:v>63.026022291775128</c:v>
                </c:pt>
                <c:pt idx="21">
                  <c:v>59.868766011245192</c:v>
                </c:pt>
                <c:pt idx="22">
                  <c:v>56.627439419543911</c:v>
                </c:pt>
                <c:pt idx="23">
                  <c:v>53.328403825113128</c:v>
                </c:pt>
                <c:pt idx="24">
                  <c:v>50</c:v>
                </c:pt>
                <c:pt idx="25">
                  <c:v>46.671596174886872</c:v>
                </c:pt>
                <c:pt idx="26">
                  <c:v>43.372560580456074</c:v>
                </c:pt>
                <c:pt idx="27">
                  <c:v>40.131233988754794</c:v>
                </c:pt>
                <c:pt idx="28">
                  <c:v>36.973977708224872</c:v>
                </c:pt>
                <c:pt idx="29">
                  <c:v>33.924363123418281</c:v>
                </c:pt>
                <c:pt idx="30">
                  <c:v>31.002551887238752</c:v>
                </c:pt>
                <c:pt idx="31">
                  <c:v>28.224894304225998</c:v>
                </c:pt>
                <c:pt idx="32">
                  <c:v>25.603750867524191</c:v>
                </c:pt>
                <c:pt idx="33">
                  <c:v>23.147521650098238</c:v>
                </c:pt>
                <c:pt idx="34">
                  <c:v>20.860852732604496</c:v>
                </c:pt>
                <c:pt idx="35">
                  <c:v>18.744979299574123</c:v>
                </c:pt>
                <c:pt idx="36">
                  <c:v>16.798161486607547</c:v>
                </c:pt>
                <c:pt idx="37">
                  <c:v>15.016170628984726</c:v>
                </c:pt>
                <c:pt idx="38">
                  <c:v>13.392788832407367</c:v>
                </c:pt>
                <c:pt idx="39">
                  <c:v>11.920292202211755</c:v>
                </c:pt>
                <c:pt idx="40">
                  <c:v>10.589896223591786</c:v>
                </c:pt>
                <c:pt idx="41">
                  <c:v>9.3921496019271213</c:v>
                </c:pt>
                <c:pt idx="42">
                  <c:v>8.3172696493922356</c:v>
                </c:pt>
                <c:pt idx="43">
                  <c:v>7.3554176934818978</c:v>
                </c:pt>
                <c:pt idx="44">
                  <c:v>6.4969169128664017</c:v>
                </c:pt>
                <c:pt idx="45">
                  <c:v>5.7324175898868726</c:v>
                </c:pt>
                <c:pt idx="46">
                  <c:v>5.0530162235413476</c:v>
                </c:pt>
                <c:pt idx="47">
                  <c:v>4.4503355262287041</c:v>
                </c:pt>
                <c:pt idx="48">
                  <c:v>3.9165722796764371</c:v>
                </c:pt>
                <c:pt idx="49">
                  <c:v>3.4445195666211155</c:v>
                </c:pt>
                <c:pt idx="50">
                  <c:v>3.0275691986950464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23-4E60-97C9-BBEEA65FA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125296"/>
        <c:axId val="562122056"/>
      </c:scatterChart>
      <c:valAx>
        <c:axId val="5621252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VPD, hP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122056"/>
        <c:crosses val="autoZero"/>
        <c:crossBetween val="midCat"/>
      </c:valAx>
      <c:valAx>
        <c:axId val="56212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Enthalpy, kJ/kg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2125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Sigmodial Fit of combined current surface atmoshpere data and CERES data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019143724560282E-2"/>
          <c:y val="0.11934165799084295"/>
          <c:w val="0.87065482633835356"/>
          <c:h val="0.7713013131453314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2076934227227612"/>
                  <c:y val="0.1655763664044763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1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Linear fit</a:t>
                    </a:r>
                  </a:p>
                  <a:p>
                    <a:pPr>
                      <a:defRPr sz="1600" b="1"/>
                    </a:pPr>
                    <a:r>
                      <a:rPr lang="en-US" baseline="0"/>
                      <a:t>y = 3.9962x + 18.45</a:t>
                    </a:r>
                    <a:br>
                      <a:rPr lang="en-US" baseline="0"/>
                    </a:br>
                    <a:r>
                      <a:rPr lang="en-US" baseline="0"/>
                      <a:t>R² = 0.7242</a:t>
                    </a:r>
                  </a:p>
                  <a:p>
                    <a:pPr>
                      <a:defRPr sz="1600" b="1"/>
                    </a:pPr>
                    <a:r>
                      <a:rPr lang="en-US" baseline="0"/>
                      <a:t>To 1975-2020 data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solidFill>
                    <a:schemeClr val="tx1"/>
                  </a:solidFill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'[1]new sigma'!$F$8:$F$56</c:f>
              <c:numCache>
                <c:formatCode>General</c:formatCode>
                <c:ptCount val="49"/>
                <c:pt idx="0">
                  <c:v>3.8753071119831795</c:v>
                </c:pt>
                <c:pt idx="1">
                  <c:v>3.771950109841514</c:v>
                </c:pt>
                <c:pt idx="2">
                  <c:v>3.8526783293507876</c:v>
                </c:pt>
                <c:pt idx="3">
                  <c:v>3.7836063872473904</c:v>
                </c:pt>
                <c:pt idx="4">
                  <c:v>3.845382383203475</c:v>
                </c:pt>
                <c:pt idx="5">
                  <c:v>3.8156544431732158</c:v>
                </c:pt>
                <c:pt idx="6">
                  <c:v>3.750058897673199</c:v>
                </c:pt>
                <c:pt idx="7">
                  <c:v>3.871781941183901</c:v>
                </c:pt>
                <c:pt idx="8">
                  <c:v>3.939007860408184</c:v>
                </c:pt>
                <c:pt idx="9">
                  <c:v>3.8245164971044385</c:v>
                </c:pt>
                <c:pt idx="10">
                  <c:v>3.8946594762472415</c:v>
                </c:pt>
                <c:pt idx="11">
                  <c:v>3.8488813587877679</c:v>
                </c:pt>
                <c:pt idx="12">
                  <c:v>3.8673111090641257</c:v>
                </c:pt>
                <c:pt idx="13">
                  <c:v>3.9255296668383508</c:v>
                </c:pt>
                <c:pt idx="14">
                  <c:v>3.920967635903601</c:v>
                </c:pt>
                <c:pt idx="15">
                  <c:v>3.9650918822603263</c:v>
                </c:pt>
                <c:pt idx="16">
                  <c:v>3.9374359327228117</c:v>
                </c:pt>
                <c:pt idx="17">
                  <c:v>3.9338813130871646</c:v>
                </c:pt>
                <c:pt idx="18">
                  <c:v>3.9440630181452985</c:v>
                </c:pt>
                <c:pt idx="19">
                  <c:v>3.9715401800441619</c:v>
                </c:pt>
                <c:pt idx="20">
                  <c:v>3.9916034853967197</c:v>
                </c:pt>
                <c:pt idx="21">
                  <c:v>4.0211674920103864</c:v>
                </c:pt>
                <c:pt idx="22">
                  <c:v>4.06711158460398</c:v>
                </c:pt>
                <c:pt idx="23">
                  <c:v>4.0169911209802809</c:v>
                </c:pt>
                <c:pt idx="24">
                  <c:v>4.0302984251920204</c:v>
                </c:pt>
                <c:pt idx="25">
                  <c:v>3.981977456859644</c:v>
                </c:pt>
                <c:pt idx="26">
                  <c:v>4.0684305637749336</c:v>
                </c:pt>
                <c:pt idx="27">
                  <c:v>4.0557197061061583</c:v>
                </c:pt>
                <c:pt idx="28">
                  <c:v>4.0762941362766849</c:v>
                </c:pt>
                <c:pt idx="29">
                  <c:v>4.1130491674421688</c:v>
                </c:pt>
                <c:pt idx="30">
                  <c:v>4.0906248719112348</c:v>
                </c:pt>
                <c:pt idx="31">
                  <c:v>4.0593836793560545</c:v>
                </c:pt>
                <c:pt idx="32">
                  <c:v>4.0597210638120824</c:v>
                </c:pt>
                <c:pt idx="33">
                  <c:v>4.0398463424244735</c:v>
                </c:pt>
                <c:pt idx="34">
                  <c:v>4.0413443902189954</c:v>
                </c:pt>
                <c:pt idx="35">
                  <c:v>4.061178209225476</c:v>
                </c:pt>
                <c:pt idx="36">
                  <c:v>4.0659816968403284</c:v>
                </c:pt>
                <c:pt idx="37">
                  <c:v>4.0135402956757549</c:v>
                </c:pt>
                <c:pt idx="38">
                  <c:v>4.0528913343009698</c:v>
                </c:pt>
                <c:pt idx="39">
                  <c:v>4.0649898042148962</c:v>
                </c:pt>
                <c:pt idx="40">
                  <c:v>4.055503958709318</c:v>
                </c:pt>
                <c:pt idx="41">
                  <c:v>4.1199542889426581</c:v>
                </c:pt>
                <c:pt idx="42">
                  <c:v>4.1904572515996446</c:v>
                </c:pt>
                <c:pt idx="43">
                  <c:v>4.1412261804845265</c:v>
                </c:pt>
                <c:pt idx="44">
                  <c:v>4.2239308373054101</c:v>
                </c:pt>
                <c:pt idx="45">
                  <c:v>4.1583926402883691</c:v>
                </c:pt>
                <c:pt idx="46">
                  <c:v>4.1968135209012747</c:v>
                </c:pt>
                <c:pt idx="47">
                  <c:v>4.2546430152314212</c:v>
                </c:pt>
                <c:pt idx="48">
                  <c:v>4.2273250249196739</c:v>
                </c:pt>
              </c:numCache>
            </c:numRef>
          </c:xVal>
          <c:yVal>
            <c:numRef>
              <c:f>'[1]new sigma'!$G$8:$G$56</c:f>
              <c:numCache>
                <c:formatCode>General</c:formatCode>
                <c:ptCount val="49"/>
                <c:pt idx="0">
                  <c:v>33.883114503649999</c:v>
                </c:pt>
                <c:pt idx="1">
                  <c:v>33.376268037233331</c:v>
                </c:pt>
                <c:pt idx="2">
                  <c:v>33.408423832083329</c:v>
                </c:pt>
                <c:pt idx="3">
                  <c:v>33.357732776166664</c:v>
                </c:pt>
                <c:pt idx="4">
                  <c:v>33.930725322866664</c:v>
                </c:pt>
                <c:pt idx="5">
                  <c:v>33.735649491000004</c:v>
                </c:pt>
                <c:pt idx="6">
                  <c:v>34.082405808866667</c:v>
                </c:pt>
                <c:pt idx="7">
                  <c:v>34.186048387333329</c:v>
                </c:pt>
                <c:pt idx="8">
                  <c:v>34.187478245466664</c:v>
                </c:pt>
                <c:pt idx="9">
                  <c:v>33.883043057516666</c:v>
                </c:pt>
                <c:pt idx="10">
                  <c:v>34.258059719299993</c:v>
                </c:pt>
                <c:pt idx="11">
                  <c:v>33.898188553799997</c:v>
                </c:pt>
                <c:pt idx="12">
                  <c:v>33.761093054133333</c:v>
                </c:pt>
                <c:pt idx="13">
                  <c:v>33.857178679183335</c:v>
                </c:pt>
                <c:pt idx="14">
                  <c:v>34.189069878699996</c:v>
                </c:pt>
                <c:pt idx="15">
                  <c:v>34.281706371508335</c:v>
                </c:pt>
                <c:pt idx="16">
                  <c:v>34.000366148591667</c:v>
                </c:pt>
                <c:pt idx="17">
                  <c:v>34.467384441333337</c:v>
                </c:pt>
                <c:pt idx="18">
                  <c:v>34.369545599991667</c:v>
                </c:pt>
                <c:pt idx="19">
                  <c:v>33.837983025249997</c:v>
                </c:pt>
                <c:pt idx="20">
                  <c:v>33.887138319266668</c:v>
                </c:pt>
                <c:pt idx="21">
                  <c:v>34.002517115250001</c:v>
                </c:pt>
                <c:pt idx="22">
                  <c:v>34.337025805900005</c:v>
                </c:pt>
                <c:pt idx="23">
                  <c:v>34.063381266099995</c:v>
                </c:pt>
                <c:pt idx="24">
                  <c:v>34.422878877583329</c:v>
                </c:pt>
                <c:pt idx="25">
                  <c:v>34.882520980533336</c:v>
                </c:pt>
                <c:pt idx="26">
                  <c:v>34.144423375416665</c:v>
                </c:pt>
                <c:pt idx="27">
                  <c:v>34.164650615416662</c:v>
                </c:pt>
                <c:pt idx="28">
                  <c:v>34.513415285199997</c:v>
                </c:pt>
                <c:pt idx="29">
                  <c:v>34.646404646116665</c:v>
                </c:pt>
                <c:pt idx="30">
                  <c:v>34.7095074908</c:v>
                </c:pt>
                <c:pt idx="31">
                  <c:v>34.567664492958336</c:v>
                </c:pt>
                <c:pt idx="32">
                  <c:v>34.923338950516658</c:v>
                </c:pt>
                <c:pt idx="33">
                  <c:v>34.845198771866663</c:v>
                </c:pt>
                <c:pt idx="34">
                  <c:v>34.815390664391671</c:v>
                </c:pt>
                <c:pt idx="35">
                  <c:v>34.510161191575001</c:v>
                </c:pt>
                <c:pt idx="36">
                  <c:v>34.858452765000003</c:v>
                </c:pt>
                <c:pt idx="37">
                  <c:v>35.106856767699995</c:v>
                </c:pt>
                <c:pt idx="38">
                  <c:v>34.714799308083329</c:v>
                </c:pt>
                <c:pt idx="39">
                  <c:v>34.805158510699997</c:v>
                </c:pt>
                <c:pt idx="40">
                  <c:v>34.902591924858335</c:v>
                </c:pt>
                <c:pt idx="41">
                  <c:v>34.992396118733325</c:v>
                </c:pt>
                <c:pt idx="42">
                  <c:v>35.321849091666664</c:v>
                </c:pt>
                <c:pt idx="43">
                  <c:v>35.733387376466666</c:v>
                </c:pt>
                <c:pt idx="44">
                  <c:v>35.351639489950003</c:v>
                </c:pt>
                <c:pt idx="45">
                  <c:v>35.262245594733329</c:v>
                </c:pt>
                <c:pt idx="46">
                  <c:v>35.533597035299998</c:v>
                </c:pt>
                <c:pt idx="47">
                  <c:v>35.524814540533328</c:v>
                </c:pt>
                <c:pt idx="48">
                  <c:v>35.152432931199996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ADC-4CD4-B6C6-7E54BA976B92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'[1]new sigma 1.2'!$W$4:$W$54</c:f>
              <c:numCache>
                <c:formatCode>General</c:formatCode>
                <c:ptCount val="51"/>
                <c:pt idx="0">
                  <c:v>0</c:v>
                </c:pt>
                <c:pt idx="1">
                  <c:v>0.2</c:v>
                </c:pt>
                <c:pt idx="2">
                  <c:v>0.4</c:v>
                </c:pt>
                <c:pt idx="3">
                  <c:v>0.6</c:v>
                </c:pt>
                <c:pt idx="4">
                  <c:v>0.8</c:v>
                </c:pt>
                <c:pt idx="5">
                  <c:v>1</c:v>
                </c:pt>
                <c:pt idx="6">
                  <c:v>1.2</c:v>
                </c:pt>
                <c:pt idx="7">
                  <c:v>1.4</c:v>
                </c:pt>
                <c:pt idx="8">
                  <c:v>1.6</c:v>
                </c:pt>
                <c:pt idx="9">
                  <c:v>1.8</c:v>
                </c:pt>
                <c:pt idx="10">
                  <c:v>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2.6</c:v>
                </c:pt>
                <c:pt idx="14">
                  <c:v>2.8</c:v>
                </c:pt>
                <c:pt idx="15">
                  <c:v>3</c:v>
                </c:pt>
                <c:pt idx="16">
                  <c:v>3.2</c:v>
                </c:pt>
                <c:pt idx="17">
                  <c:v>3.4</c:v>
                </c:pt>
                <c:pt idx="18">
                  <c:v>3.6</c:v>
                </c:pt>
                <c:pt idx="19">
                  <c:v>3.8</c:v>
                </c:pt>
                <c:pt idx="20">
                  <c:v>4</c:v>
                </c:pt>
                <c:pt idx="21">
                  <c:v>4.2</c:v>
                </c:pt>
                <c:pt idx="22">
                  <c:v>4.4000000000000004</c:v>
                </c:pt>
                <c:pt idx="23">
                  <c:v>4.5999999999999996</c:v>
                </c:pt>
                <c:pt idx="24">
                  <c:v>4.8</c:v>
                </c:pt>
                <c:pt idx="25">
                  <c:v>5</c:v>
                </c:pt>
                <c:pt idx="26">
                  <c:v>5.2</c:v>
                </c:pt>
                <c:pt idx="27">
                  <c:v>5.4</c:v>
                </c:pt>
                <c:pt idx="28">
                  <c:v>5.6</c:v>
                </c:pt>
                <c:pt idx="29">
                  <c:v>5.8</c:v>
                </c:pt>
                <c:pt idx="30">
                  <c:v>6</c:v>
                </c:pt>
                <c:pt idx="31">
                  <c:v>6.2</c:v>
                </c:pt>
                <c:pt idx="32">
                  <c:v>6.4</c:v>
                </c:pt>
                <c:pt idx="33">
                  <c:v>6.6</c:v>
                </c:pt>
                <c:pt idx="34">
                  <c:v>6.8</c:v>
                </c:pt>
                <c:pt idx="35">
                  <c:v>7</c:v>
                </c:pt>
                <c:pt idx="36">
                  <c:v>7.2</c:v>
                </c:pt>
                <c:pt idx="37">
                  <c:v>7.4</c:v>
                </c:pt>
                <c:pt idx="38">
                  <c:v>7.6</c:v>
                </c:pt>
                <c:pt idx="39">
                  <c:v>7.8</c:v>
                </c:pt>
                <c:pt idx="40">
                  <c:v>8</c:v>
                </c:pt>
                <c:pt idx="41">
                  <c:v>8.1999999999999993</c:v>
                </c:pt>
                <c:pt idx="42">
                  <c:v>8.4</c:v>
                </c:pt>
                <c:pt idx="43">
                  <c:v>8.6</c:v>
                </c:pt>
                <c:pt idx="44">
                  <c:v>8.8000000000000007</c:v>
                </c:pt>
                <c:pt idx="45">
                  <c:v>9</c:v>
                </c:pt>
                <c:pt idx="46">
                  <c:v>9.1999999999999993</c:v>
                </c:pt>
                <c:pt idx="47">
                  <c:v>9.4</c:v>
                </c:pt>
                <c:pt idx="48">
                  <c:v>9.6</c:v>
                </c:pt>
                <c:pt idx="49">
                  <c:v>9.8000000000000007</c:v>
                </c:pt>
                <c:pt idx="50">
                  <c:v>10</c:v>
                </c:pt>
              </c:numCache>
            </c:numRef>
          </c:xVal>
          <c:yVal>
            <c:numRef>
              <c:f>'[1]new sigma 1.2'!$X$4:$X$54</c:f>
              <c:numCache>
                <c:formatCode>General</c:formatCode>
                <c:ptCount val="51"/>
                <c:pt idx="0">
                  <c:v>24.105178502259534</c:v>
                </c:pt>
                <c:pt idx="1">
                  <c:v>24.372947856858982</c:v>
                </c:pt>
                <c:pt idx="2">
                  <c:v>24.661516251732994</c:v>
                </c:pt>
                <c:pt idx="3">
                  <c:v>24.972095406998314</c:v>
                </c:pt>
                <c:pt idx="4">
                  <c:v>25.305897055807065</c:v>
                </c:pt>
                <c:pt idx="5">
                  <c:v>25.664118766445576</c:v>
                </c:pt>
                <c:pt idx="6">
                  <c:v>26.04792751282735</c:v>
                </c:pt>
                <c:pt idx="7">
                  <c:v>26.458440952508553</c:v>
                </c:pt>
                <c:pt idx="8">
                  <c:v>26.896706442152301</c:v>
                </c:pt>
                <c:pt idx="9">
                  <c:v>27.363677908571276</c:v>
                </c:pt>
                <c:pt idx="10">
                  <c:v>27.860190799016035</c:v>
                </c:pt>
                <c:pt idx="11">
                  <c:v>28.386935455876685</c:v>
                </c:pt>
                <c:pt idx="12">
                  <c:v>28.944429395417711</c:v>
                </c:pt>
                <c:pt idx="13">
                  <c:v>29.532989112634418</c:v>
                </c:pt>
                <c:pt idx="14">
                  <c:v>30.152702177767328</c:v>
                </c:pt>
                <c:pt idx="15">
                  <c:v>30.803400525294869</c:v>
                </c:pt>
                <c:pt idx="16">
                  <c:v>31.484635952334607</c:v>
                </c:pt>
                <c:pt idx="17">
                  <c:v>32.19565892798034</c:v>
                </c:pt>
                <c:pt idx="18">
                  <c:v>32.935401855383972</c:v>
                </c:pt>
                <c:pt idx="19">
                  <c:v>33.702467912277413</c:v>
                </c:pt>
                <c:pt idx="20">
                  <c:v>34.495126513196695</c:v>
                </c:pt>
                <c:pt idx="21">
                  <c:v>35.311316281702496</c:v>
                </c:pt>
                <c:pt idx="22">
                  <c:v>36.148656192357294</c:v>
                </c:pt>
                <c:pt idx="23">
                  <c:v>37.004465245440066</c:v>
                </c:pt>
                <c:pt idx="24">
                  <c:v>37.875790684627631</c:v>
                </c:pt>
                <c:pt idx="25">
                  <c:v>38.759444378215207</c:v>
                </c:pt>
                <c:pt idx="26">
                  <c:v>39.652046582683965</c:v>
                </c:pt>
                <c:pt idx="27">
                  <c:v>40.550075922125814</c:v>
                </c:pt>
                <c:pt idx="28">
                  <c:v>41.449924077874186</c:v>
                </c:pt>
                <c:pt idx="29">
                  <c:v>42.347953417316035</c:v>
                </c:pt>
                <c:pt idx="30">
                  <c:v>43.240555621784793</c:v>
                </c:pt>
                <c:pt idx="31">
                  <c:v>44.124209315372369</c:v>
                </c:pt>
                <c:pt idx="32">
                  <c:v>44.995534754559934</c:v>
                </c:pt>
                <c:pt idx="33">
                  <c:v>45.851343807642714</c:v>
                </c:pt>
                <c:pt idx="34">
                  <c:v>46.688683718297504</c:v>
                </c:pt>
                <c:pt idx="35">
                  <c:v>47.504873486803305</c:v>
                </c:pt>
                <c:pt idx="36">
                  <c:v>48.297532087722587</c:v>
                </c:pt>
                <c:pt idx="37">
                  <c:v>49.064598144616028</c:v>
                </c:pt>
                <c:pt idx="38">
                  <c:v>49.804341072019653</c:v>
                </c:pt>
                <c:pt idx="39">
                  <c:v>50.515364047665393</c:v>
                </c:pt>
                <c:pt idx="40">
                  <c:v>51.196599474705131</c:v>
                </c:pt>
                <c:pt idx="41">
                  <c:v>51.847297822232662</c:v>
                </c:pt>
                <c:pt idx="42">
                  <c:v>52.467010887365589</c:v>
                </c:pt>
                <c:pt idx="43">
                  <c:v>53.055570604582286</c:v>
                </c:pt>
                <c:pt idx="44">
                  <c:v>53.613064544123318</c:v>
                </c:pt>
                <c:pt idx="45">
                  <c:v>54.139809200983969</c:v>
                </c:pt>
                <c:pt idx="46">
                  <c:v>54.636322091428724</c:v>
                </c:pt>
                <c:pt idx="47">
                  <c:v>55.103293557847699</c:v>
                </c:pt>
                <c:pt idx="48">
                  <c:v>55.541559047491447</c:v>
                </c:pt>
                <c:pt idx="49">
                  <c:v>55.95207248717265</c:v>
                </c:pt>
                <c:pt idx="50">
                  <c:v>56.335881233554424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ADC-4CD4-B6C6-7E54BA976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5421224"/>
        <c:axId val="935425544"/>
      </c:scatterChart>
      <c:valAx>
        <c:axId val="935421224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VPD, hP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425544"/>
        <c:crosses val="autoZero"/>
        <c:crossBetween val="midCat"/>
      </c:valAx>
      <c:valAx>
        <c:axId val="935425544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/>
                  <a:t>Enthalpy, kJ/kg(da)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421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628650</xdr:colOff>
      <xdr:row>77</xdr:row>
      <xdr:rowOff>44926</xdr:rowOff>
    </xdr:from>
    <xdr:to>
      <xdr:col>4</xdr:col>
      <xdr:colOff>279593</xdr:colOff>
      <xdr:row>77</xdr:row>
      <xdr:rowOff>202808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5789CD-AFB0-4D51-8859-84E496C0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1619051"/>
          <a:ext cx="5461193" cy="157882"/>
        </a:xfrm>
        <a:prstGeom prst="rect">
          <a:avLst/>
        </a:prstGeom>
      </xdr:spPr>
    </xdr:pic>
    <xdr:clientData/>
  </xdr:twoCellAnchor>
  <xdr:twoCellAnchor editAs="oneCell">
    <xdr:from>
      <xdr:col>5</xdr:col>
      <xdr:colOff>495300</xdr:colOff>
      <xdr:row>77</xdr:row>
      <xdr:rowOff>43894</xdr:rowOff>
    </xdr:from>
    <xdr:to>
      <xdr:col>11</xdr:col>
      <xdr:colOff>199565</xdr:colOff>
      <xdr:row>77</xdr:row>
      <xdr:rowOff>202808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39229-4413-4383-8E20-0289AA3C4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2300" y="21618019"/>
          <a:ext cx="4847765" cy="158914"/>
        </a:xfrm>
        <a:prstGeom prst="rect">
          <a:avLst/>
        </a:prstGeom>
      </xdr:spPr>
    </xdr:pic>
    <xdr:clientData/>
  </xdr:twoCellAnchor>
  <xdr:absoluteAnchor>
    <xdr:pos x="13411200" y="16925925"/>
    <xdr:ext cx="6391275" cy="4280694"/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9A241F-9C01-4D64-B24C-B21F382DDA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3363575" y="11620500"/>
    <xdr:ext cx="7696200" cy="4867276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03824E6-A865-4CA1-8B2F-51D35775F73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0.47839</cdr:x>
      <cdr:y>0.09886</cdr:y>
    </cdr:from>
    <cdr:to>
      <cdr:x>0.95976</cdr:x>
      <cdr:y>0.58743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13BA15B-A516-C01F-5B0E-C064A5D9E4BA}"/>
            </a:ext>
          </a:extLst>
        </cdr:cNvPr>
        <cdr:cNvSpPr txBox="1"/>
      </cdr:nvSpPr>
      <cdr:spPr>
        <a:xfrm xmlns:a="http://schemas.openxmlformats.org/drawingml/2006/main">
          <a:off x="3057526" y="423176"/>
          <a:ext cx="3076574" cy="2091424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accent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 kern="1200"/>
            <a:t>Sigmodial fit of</a:t>
          </a:r>
          <a:r>
            <a:rPr lang="en-US" sz="1600" b="1" kern="1200" baseline="0"/>
            <a:t> Climate Explorer data</a:t>
          </a:r>
        </a:p>
        <a:p xmlns:a="http://schemas.openxmlformats.org/drawingml/2006/main">
          <a:r>
            <a:rPr lang="en-US" sz="1600" b="1" kern="1200"/>
            <a:t> Enthalpy = L / (1 + e^((X-X')/k)) + b</a:t>
          </a:r>
        </a:p>
        <a:p xmlns:a="http://schemas.openxmlformats.org/drawingml/2006/main">
          <a:r>
            <a:rPr lang="en-US" sz="1600" b="1" kern="1200"/>
            <a:t>where:</a:t>
          </a:r>
        </a:p>
        <a:p xmlns:a="http://schemas.openxmlformats.org/drawingml/2006/main">
          <a:r>
            <a:rPr lang="en-US" sz="1600" b="1" kern="1200"/>
            <a:t>L = 100,  max</a:t>
          </a:r>
          <a:r>
            <a:rPr lang="en-US" sz="1600" b="1" kern="1200" baseline="0"/>
            <a:t> clouds</a:t>
          </a:r>
        </a:p>
        <a:p xmlns:a="http://schemas.openxmlformats.org/drawingml/2006/main">
          <a:r>
            <a:rPr lang="en-US" sz="1600" b="1" kern="1200" baseline="0"/>
            <a:t>b = 0, no clouds</a:t>
          </a:r>
        </a:p>
        <a:p xmlns:a="http://schemas.openxmlformats.org/drawingml/2006/main">
          <a:r>
            <a:rPr lang="en-US" sz="1600" b="1" kern="1200" baseline="0"/>
            <a:t>k = 1.5, slope at center</a:t>
          </a:r>
        </a:p>
        <a:p xmlns:a="http://schemas.openxmlformats.org/drawingml/2006/main">
          <a:r>
            <a:rPr lang="en-US" sz="1600" b="1" kern="1200" baseline="0"/>
            <a:t>X' =4.8,  VPD center</a:t>
          </a:r>
        </a:p>
        <a:p xmlns:a="http://schemas.openxmlformats.org/drawingml/2006/main">
          <a:r>
            <a:rPr lang="en-US" sz="1600" b="1" kern="1200" baseline="0"/>
            <a:t>X = VPD</a:t>
          </a:r>
          <a:endParaRPr lang="en-US" sz="1600" b="1" kern="1200"/>
        </a:p>
      </cdr:txBody>
    </cdr:sp>
  </cdr:relSizeAnchor>
  <cdr:relSizeAnchor xmlns:cdr="http://schemas.openxmlformats.org/drawingml/2006/chartDrawing">
    <cdr:from>
      <cdr:x>0.28604</cdr:x>
      <cdr:y>0.48107</cdr:y>
    </cdr:from>
    <cdr:to>
      <cdr:x>0.38444</cdr:x>
      <cdr:y>0.61987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ED688410-1C41-176E-4C2B-E9E184EAFD0B}"/>
            </a:ext>
          </a:extLst>
        </cdr:cNvPr>
        <cdr:cNvCxnSpPr/>
      </cdr:nvCxnSpPr>
      <cdr:spPr>
        <a:xfrm xmlns:a="http://schemas.openxmlformats.org/drawingml/2006/main" flipV="1">
          <a:off x="2480469" y="3026172"/>
          <a:ext cx="853281" cy="873125"/>
        </a:xfrm>
        <a:prstGeom xmlns:a="http://schemas.openxmlformats.org/drawingml/2006/main" prst="straightConnector1">
          <a:avLst/>
        </a:prstGeom>
        <a:ln xmlns:a="http://schemas.openxmlformats.org/drawingml/2006/main" w="41275">
          <a:prstDash val="sysDot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0.47483</cdr:x>
      <cdr:y>0.37066</cdr:y>
    </cdr:from>
    <cdr:to>
      <cdr:x>0.53547</cdr:x>
      <cdr:y>0.55836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2871A21A-A698-AA15-0444-8951FCE239DF}"/>
            </a:ext>
          </a:extLst>
        </cdr:cNvPr>
        <cdr:cNvCxnSpPr/>
      </cdr:nvCxnSpPr>
      <cdr:spPr>
        <a:xfrm xmlns:a="http://schemas.openxmlformats.org/drawingml/2006/main" flipH="1">
          <a:off x="4117578" y="2331641"/>
          <a:ext cx="525860" cy="1180703"/>
        </a:xfrm>
        <a:prstGeom xmlns:a="http://schemas.openxmlformats.org/drawingml/2006/main" prst="straightConnector1">
          <a:avLst/>
        </a:prstGeom>
        <a:ln xmlns:a="http://schemas.openxmlformats.org/drawingml/2006/main" w="44450">
          <a:prstDash val="sysDot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0.16819</cdr:x>
      <cdr:y>0.17035</cdr:y>
    </cdr:from>
    <cdr:to>
      <cdr:x>0.53547</cdr:x>
      <cdr:y>0.51104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5BCD386-AB84-F069-FFBE-8F7909AC3254}"/>
            </a:ext>
          </a:extLst>
        </cdr:cNvPr>
        <cdr:cNvSpPr txBox="1"/>
      </cdr:nvSpPr>
      <cdr:spPr>
        <a:xfrm xmlns:a="http://schemas.openxmlformats.org/drawingml/2006/main">
          <a:off x="1458516" y="1071561"/>
          <a:ext cx="3184922" cy="2143126"/>
        </a:xfrm>
        <a:prstGeom xmlns:a="http://schemas.openxmlformats.org/drawingml/2006/main" prst="rect">
          <a:avLst/>
        </a:prstGeom>
        <a:ln xmlns:a="http://schemas.openxmlformats.org/drawingml/2006/main" w="22225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 b="1" kern="1200"/>
            <a:t>Enthalpy</a:t>
          </a:r>
          <a:r>
            <a:rPr lang="en-US" sz="1600" b="1" kern="1200" baseline="0"/>
            <a:t> = L/ (1+ e^( -k *(X - X'))) + b</a:t>
          </a:r>
        </a:p>
        <a:p xmlns:a="http://schemas.openxmlformats.org/drawingml/2006/main">
          <a:r>
            <a:rPr lang="en-US" sz="1600" b="1" kern="1200" baseline="0"/>
            <a:t>where:</a:t>
          </a:r>
        </a:p>
        <a:p xmlns:a="http://schemas.openxmlformats.org/drawingml/2006/main">
          <a:r>
            <a:rPr lang="en-US" sz="1600" b="1" kern="1200" baseline="0"/>
            <a:t>L =  40,  No clouds - all clouds Enthalpy</a:t>
          </a:r>
        </a:p>
        <a:p xmlns:a="http://schemas.openxmlformats.org/drawingml/2006/main">
          <a:r>
            <a:rPr lang="en-US" sz="1600" b="1" kern="1200" baseline="0"/>
            <a:t>b = 21,  All clouds Enthalpy</a:t>
          </a:r>
        </a:p>
        <a:p xmlns:a="http://schemas.openxmlformats.org/drawingml/2006/main">
          <a:r>
            <a:rPr lang="en-US" sz="1600" b="1" kern="1200" baseline="0"/>
            <a:t>k = 0,45, slope of center </a:t>
          </a:r>
        </a:p>
        <a:p xmlns:a="http://schemas.openxmlformats.org/drawingml/2006/main">
          <a:r>
            <a:rPr lang="en-US" sz="1600" b="1" kern="1200" baseline="0"/>
            <a:t>X' = 5.5,  VPD at the  middle of graph</a:t>
          </a:r>
        </a:p>
        <a:p xmlns:a="http://schemas.openxmlformats.org/drawingml/2006/main">
          <a:r>
            <a:rPr lang="en-US" sz="1600" b="1" kern="1200" baseline="0"/>
            <a:t>X = VPD </a:t>
          </a:r>
          <a:endParaRPr lang="en-US" sz="1600" b="1" kern="1200"/>
        </a:p>
      </cdr:txBody>
    </cdr:sp>
  </cdr:relSizeAnchor>
  <cdr:relSizeAnchor xmlns:cdr="http://schemas.openxmlformats.org/drawingml/2006/chartDrawing">
    <cdr:from>
      <cdr:x>0.45423</cdr:x>
      <cdr:y>0.61514</cdr:y>
    </cdr:from>
    <cdr:to>
      <cdr:x>0.53776</cdr:x>
      <cdr:y>0.66404</cdr:y>
    </cdr:to>
    <cdr:cxnSp macro="">
      <cdr:nvCxnSpPr>
        <cdr:cNvPr id="4" name="Straight Arrow Connector 3">
          <a:extLst xmlns:a="http://schemas.openxmlformats.org/drawingml/2006/main">
            <a:ext uri="{FF2B5EF4-FFF2-40B4-BE49-F238E27FC236}">
              <a16:creationId xmlns:a16="http://schemas.microsoft.com/office/drawing/2014/main" id="{988BB152-3B07-9DFB-718F-B76C84B55CA3}"/>
            </a:ext>
          </a:extLst>
        </cdr:cNvPr>
        <cdr:cNvCxnSpPr/>
      </cdr:nvCxnSpPr>
      <cdr:spPr>
        <a:xfrm xmlns:a="http://schemas.openxmlformats.org/drawingml/2006/main" flipH="1" flipV="1">
          <a:off x="3938984" y="3869531"/>
          <a:ext cx="724297" cy="307578"/>
        </a:xfrm>
        <a:prstGeom xmlns:a="http://schemas.openxmlformats.org/drawingml/2006/main" prst="straightConnector1">
          <a:avLst/>
        </a:prstGeom>
        <a:ln xmlns:a="http://schemas.openxmlformats.org/drawingml/2006/main" w="38100">
          <a:prstDash val="sysDot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0.54005</cdr:x>
      <cdr:y>0.28864</cdr:y>
    </cdr:from>
    <cdr:to>
      <cdr:x>0.62586</cdr:x>
      <cdr:y>0.42271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8A8D51E3-2DC6-70D5-75BB-1DFE36D96A70}"/>
            </a:ext>
          </a:extLst>
        </cdr:cNvPr>
        <cdr:cNvCxnSpPr/>
      </cdr:nvCxnSpPr>
      <cdr:spPr>
        <a:xfrm xmlns:a="http://schemas.openxmlformats.org/drawingml/2006/main">
          <a:off x="4683125" y="1815703"/>
          <a:ext cx="744141" cy="843360"/>
        </a:xfrm>
        <a:prstGeom xmlns:a="http://schemas.openxmlformats.org/drawingml/2006/main" prst="straightConnector1">
          <a:avLst/>
        </a:prstGeom>
        <a:ln xmlns:a="http://schemas.openxmlformats.org/drawingml/2006/main" w="41275">
          <a:prstDash val="sysDot"/>
          <a:tailEnd type="triangle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wner\OneDrive\Desktop\Global%20Warming\GRGW%20global%20model(AutoRecovered).xlsx" TargetMode="External"/><Relationship Id="rId1" Type="http://schemas.openxmlformats.org/officeDocument/2006/relationships/externalLinkPath" Target="GRGW%20global%20model(Auto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eb items"/>
      <sheetName val="CRGW global model"/>
      <sheetName val="CRGW global sigmodial"/>
      <sheetName val="GRGW global sigmodial clean"/>
      <sheetName val="NP19-T2"/>
      <sheetName val="NP19 T1"/>
      <sheetName val="NP19-T3"/>
      <sheetName val="orginal"/>
      <sheetName val="CRGW global test"/>
      <sheetName val="CRGW model test"/>
      <sheetName val="ET data"/>
      <sheetName val="En data"/>
      <sheetName val="Sheet1"/>
      <sheetName val="Global ET"/>
      <sheetName val="Cloud data"/>
      <sheetName val="Clouds sigma"/>
      <sheetName val="Sigma fit"/>
      <sheetName val="albedo sigma"/>
      <sheetName val="NP19-C"/>
      <sheetName val="cloud sigma 2.1"/>
      <sheetName val="quad"/>
      <sheetName val="Sheet2"/>
      <sheetName val="Mazrooei data added"/>
      <sheetName val="Mazronei data corrected"/>
      <sheetName val="NP17-19cc"/>
      <sheetName val="NP17-18cc"/>
      <sheetName val="NP17-17cc"/>
      <sheetName val="En cc"/>
      <sheetName val="NP19-D"/>
      <sheetName val="NP19 - A"/>
      <sheetName val="En and SH and Temp"/>
      <sheetName val="check on all data"/>
      <sheetName val="NOAA SH new"/>
      <sheetName val="reanalysis of En "/>
      <sheetName val="new sigma"/>
      <sheetName val="NP19-B"/>
      <sheetName val="new sigma 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AA4">
            <v>0</v>
          </cell>
          <cell r="AB4">
            <v>96.08342772032357</v>
          </cell>
        </row>
        <row r="5">
          <cell r="AA5">
            <v>0.2</v>
          </cell>
          <cell r="AB5">
            <v>95.549664473771301</v>
          </cell>
        </row>
        <row r="6">
          <cell r="AA6">
            <v>0.4</v>
          </cell>
          <cell r="AB6">
            <v>94.946983776458652</v>
          </cell>
        </row>
        <row r="7">
          <cell r="AA7">
            <v>0.6</v>
          </cell>
          <cell r="AB7">
            <v>94.267582410113135</v>
          </cell>
        </row>
        <row r="8">
          <cell r="AA8">
            <v>0.8</v>
          </cell>
          <cell r="AB8">
            <v>93.503083087133589</v>
          </cell>
        </row>
        <row r="9">
          <cell r="AA9">
            <v>1</v>
          </cell>
          <cell r="AB9">
            <v>92.644582306518103</v>
          </cell>
        </row>
        <row r="10">
          <cell r="AA10">
            <v>1.2</v>
          </cell>
          <cell r="AB10">
            <v>91.68273035060777</v>
          </cell>
        </row>
        <row r="11">
          <cell r="AA11">
            <v>1.4</v>
          </cell>
          <cell r="AB11">
            <v>90.607850398072898</v>
          </cell>
        </row>
        <row r="12">
          <cell r="AA12">
            <v>1.6</v>
          </cell>
          <cell r="AB12">
            <v>89.410103776408221</v>
          </cell>
        </row>
        <row r="13">
          <cell r="AA13">
            <v>1.8</v>
          </cell>
          <cell r="AB13">
            <v>88.079707797788231</v>
          </cell>
        </row>
        <row r="14">
          <cell r="AA14">
            <v>2</v>
          </cell>
          <cell r="AB14">
            <v>86.607211167592638</v>
          </cell>
        </row>
        <row r="15">
          <cell r="AA15">
            <v>2.2000000000000002</v>
          </cell>
          <cell r="AB15">
            <v>84.983829371015261</v>
          </cell>
        </row>
        <row r="16">
          <cell r="AA16">
            <v>2.4</v>
          </cell>
          <cell r="AB16">
            <v>83.201838513392445</v>
          </cell>
        </row>
        <row r="17">
          <cell r="F17">
            <v>3.8946594762472415</v>
          </cell>
          <cell r="H17">
            <v>63.091791666666673</v>
          </cell>
          <cell r="AA17">
            <v>2.6</v>
          </cell>
          <cell r="AB17">
            <v>81.255020700425874</v>
          </cell>
        </row>
        <row r="18">
          <cell r="F18">
            <v>3.8488813587877679</v>
          </cell>
          <cell r="H18">
            <v>63.776724999999999</v>
          </cell>
          <cell r="AA18">
            <v>2.8</v>
          </cell>
          <cell r="AB18">
            <v>79.139147267395515</v>
          </cell>
        </row>
        <row r="19">
          <cell r="F19">
            <v>3.8673111090641257</v>
          </cell>
          <cell r="H19">
            <v>63.833091666666661</v>
          </cell>
          <cell r="AA19">
            <v>3</v>
          </cell>
          <cell r="AB19">
            <v>76.852478349901759</v>
          </cell>
        </row>
        <row r="20">
          <cell r="F20">
            <v>3.9255296668383508</v>
          </cell>
          <cell r="H20">
            <v>62.888327272727267</v>
          </cell>
          <cell r="AA20">
            <v>3.2</v>
          </cell>
          <cell r="AB20">
            <v>74.396249132475788</v>
          </cell>
        </row>
        <row r="21">
          <cell r="F21">
            <v>3.920967635903601</v>
          </cell>
          <cell r="H21">
            <v>62.286375</v>
          </cell>
          <cell r="AA21">
            <v>3.4</v>
          </cell>
          <cell r="AB21">
            <v>71.775105695774002</v>
          </cell>
        </row>
        <row r="22">
          <cell r="F22">
            <v>3.9650918822603263</v>
          </cell>
          <cell r="H22">
            <v>63.294199999999996</v>
          </cell>
          <cell r="AA22">
            <v>3.6</v>
          </cell>
          <cell r="AB22">
            <v>68.997448112761248</v>
          </cell>
        </row>
        <row r="23">
          <cell r="F23">
            <v>3.9374359327228117</v>
          </cell>
          <cell r="H23">
            <v>63.335849999999994</v>
          </cell>
          <cell r="AA23">
            <v>3.8</v>
          </cell>
          <cell r="AB23">
            <v>66.075636876581711</v>
          </cell>
        </row>
        <row r="24">
          <cell r="F24">
            <v>3.9338813130871646</v>
          </cell>
          <cell r="H24">
            <v>62.004258333333325</v>
          </cell>
          <cell r="AA24">
            <v>4</v>
          </cell>
          <cell r="AB24">
            <v>63.026022291775128</v>
          </cell>
        </row>
        <row r="25">
          <cell r="F25">
            <v>3.9440630181452985</v>
          </cell>
          <cell r="H25">
            <v>62.541608333333329</v>
          </cell>
          <cell r="AA25">
            <v>4.2</v>
          </cell>
          <cell r="AB25">
            <v>59.868766011245192</v>
          </cell>
        </row>
        <row r="26">
          <cell r="F26">
            <v>3.9715401800441619</v>
          </cell>
          <cell r="H26">
            <v>62.65849166666667</v>
          </cell>
          <cell r="AA26">
            <v>4.4000000000000004</v>
          </cell>
          <cell r="AB26">
            <v>56.627439419543911</v>
          </cell>
        </row>
        <row r="27">
          <cell r="F27">
            <v>3.9916034853967197</v>
          </cell>
          <cell r="H27">
            <v>63.221624999999996</v>
          </cell>
          <cell r="AA27">
            <v>4.5999999999999996</v>
          </cell>
          <cell r="AB27">
            <v>53.328403825113128</v>
          </cell>
        </row>
        <row r="28">
          <cell r="F28">
            <v>4.0211674920103864</v>
          </cell>
          <cell r="H28">
            <v>63.256450000000001</v>
          </cell>
          <cell r="AA28">
            <v>4.8</v>
          </cell>
          <cell r="AB28">
            <v>50</v>
          </cell>
        </row>
        <row r="29">
          <cell r="F29">
            <v>4.06711158460398</v>
          </cell>
          <cell r="H29">
            <v>63.719316666666664</v>
          </cell>
          <cell r="AA29">
            <v>5</v>
          </cell>
          <cell r="AB29">
            <v>46.671596174886872</v>
          </cell>
        </row>
        <row r="30">
          <cell r="F30">
            <v>4.0169911209802809</v>
          </cell>
          <cell r="H30">
            <v>63.389633333333343</v>
          </cell>
          <cell r="AA30">
            <v>5.2</v>
          </cell>
          <cell r="AB30">
            <v>43.372560580456074</v>
          </cell>
        </row>
        <row r="31">
          <cell r="F31">
            <v>4.0302984251920204</v>
          </cell>
          <cell r="H31">
            <v>63.350299999999997</v>
          </cell>
          <cell r="AA31">
            <v>5.4</v>
          </cell>
          <cell r="AB31">
            <v>40.131233988754794</v>
          </cell>
        </row>
        <row r="32">
          <cell r="F32">
            <v>3.981977456859644</v>
          </cell>
          <cell r="H32">
            <v>63.081724999999999</v>
          </cell>
          <cell r="AA32">
            <v>5.6</v>
          </cell>
          <cell r="AB32">
            <v>36.973977708224872</v>
          </cell>
        </row>
        <row r="33">
          <cell r="F33">
            <v>4.0684305637749336</v>
          </cell>
          <cell r="H33">
            <v>63.255141666666667</v>
          </cell>
          <cell r="AA33">
            <v>5.8</v>
          </cell>
          <cell r="AB33">
            <v>33.924363123418281</v>
          </cell>
        </row>
        <row r="34">
          <cell r="F34">
            <v>4.0557197061061583</v>
          </cell>
          <cell r="H34">
            <v>62.193566666666662</v>
          </cell>
          <cell r="AA34">
            <v>6</v>
          </cell>
          <cell r="AB34">
            <v>31.002551887238752</v>
          </cell>
        </row>
        <row r="35">
          <cell r="F35">
            <v>4.0762941362766849</v>
          </cell>
          <cell r="H35">
            <v>62.34684166666667</v>
          </cell>
          <cell r="AA35">
            <v>6.2</v>
          </cell>
          <cell r="AB35">
            <v>28.224894304225998</v>
          </cell>
        </row>
        <row r="36">
          <cell r="F36">
            <v>4.1130491674421688</v>
          </cell>
          <cell r="H36">
            <v>61.51615833333333</v>
          </cell>
          <cell r="AA36">
            <v>6.4</v>
          </cell>
          <cell r="AB36">
            <v>25.603750867524191</v>
          </cell>
        </row>
        <row r="37">
          <cell r="F37">
            <v>4.0906248719112348</v>
          </cell>
          <cell r="H37">
            <v>61.136208333333322</v>
          </cell>
          <cell r="AA37">
            <v>6.6</v>
          </cell>
          <cell r="AB37">
            <v>23.147521650098238</v>
          </cell>
        </row>
        <row r="38">
          <cell r="F38">
            <v>4.0593836793560545</v>
          </cell>
          <cell r="H38">
            <v>60.533574999999992</v>
          </cell>
          <cell r="AA38">
            <v>6.8</v>
          </cell>
          <cell r="AB38">
            <v>20.860852732604496</v>
          </cell>
        </row>
        <row r="39">
          <cell r="F39">
            <v>4.0597210638120824</v>
          </cell>
          <cell r="H39">
            <v>60.816575</v>
          </cell>
          <cell r="AA39">
            <v>7</v>
          </cell>
          <cell r="AB39">
            <v>18.744979299574123</v>
          </cell>
        </row>
        <row r="40">
          <cell r="F40">
            <v>4.0398463424244735</v>
          </cell>
          <cell r="H40">
            <v>61.087941666666666</v>
          </cell>
          <cell r="AA40">
            <v>7.2</v>
          </cell>
          <cell r="AB40">
            <v>16.798161486607547</v>
          </cell>
        </row>
        <row r="41">
          <cell r="F41">
            <v>4.0413443902189954</v>
          </cell>
          <cell r="H41">
            <v>61.178458333333332</v>
          </cell>
          <cell r="AA41">
            <v>7.4</v>
          </cell>
          <cell r="AB41">
            <v>15.016170628984726</v>
          </cell>
        </row>
        <row r="42">
          <cell r="F42">
            <v>4.061178209225476</v>
          </cell>
          <cell r="H42">
            <v>60.936283333333328</v>
          </cell>
          <cell r="AA42">
            <v>7.6</v>
          </cell>
          <cell r="AB42">
            <v>13.392788832407367</v>
          </cell>
        </row>
        <row r="43">
          <cell r="F43">
            <v>4.0659816968403284</v>
          </cell>
          <cell r="H43">
            <v>60.811675000000001</v>
          </cell>
          <cell r="AA43">
            <v>7.8</v>
          </cell>
          <cell r="AB43">
            <v>11.920292202211755</v>
          </cell>
        </row>
        <row r="44">
          <cell r="F44">
            <v>4.0135402956757549</v>
          </cell>
          <cell r="H44">
            <v>60.951716666666648</v>
          </cell>
          <cell r="AA44">
            <v>8</v>
          </cell>
          <cell r="AB44">
            <v>10.589896223591786</v>
          </cell>
        </row>
        <row r="45">
          <cell r="F45">
            <v>4.0528913343009698</v>
          </cell>
          <cell r="H45">
            <v>61.781266666666674</v>
          </cell>
          <cell r="AA45">
            <v>8.1999999999999993</v>
          </cell>
          <cell r="AB45">
            <v>9.3921496019271213</v>
          </cell>
        </row>
        <row r="46">
          <cell r="F46">
            <v>4.0649898042148962</v>
          </cell>
          <cell r="H46">
            <v>61.360599999999998</v>
          </cell>
          <cell r="AA46">
            <v>8.4</v>
          </cell>
          <cell r="AB46">
            <v>8.3172696493922356</v>
          </cell>
        </row>
        <row r="47">
          <cell r="F47">
            <v>4.055503958709318</v>
          </cell>
          <cell r="H47">
            <v>61.632425000000005</v>
          </cell>
          <cell r="AA47">
            <v>8.6</v>
          </cell>
          <cell r="AB47">
            <v>7.3554176934818978</v>
          </cell>
        </row>
        <row r="48">
          <cell r="F48">
            <v>4.1199542889426581</v>
          </cell>
          <cell r="H48">
            <v>61.727483333333339</v>
          </cell>
          <cell r="AA48">
            <v>8.8000000000000007</v>
          </cell>
          <cell r="AB48">
            <v>6.4969169128664017</v>
          </cell>
        </row>
        <row r="49">
          <cell r="F49">
            <v>4.1904572515996446</v>
          </cell>
          <cell r="H49">
            <v>61.471350000000001</v>
          </cell>
          <cell r="AA49">
            <v>9</v>
          </cell>
          <cell r="AB49">
            <v>5.7324175898868726</v>
          </cell>
        </row>
        <row r="50">
          <cell r="F50">
            <v>4.1412261804845265</v>
          </cell>
          <cell r="H50">
            <v>61.181758333333335</v>
          </cell>
          <cell r="AA50">
            <v>9.1999999999999993</v>
          </cell>
          <cell r="AB50">
            <v>5.0530162235413476</v>
          </cell>
        </row>
        <row r="51">
          <cell r="F51">
            <v>4.2239308373054101</v>
          </cell>
          <cell r="H51">
            <v>61.350133333333325</v>
          </cell>
          <cell r="AA51">
            <v>9.4</v>
          </cell>
          <cell r="AB51">
            <v>4.4503355262287041</v>
          </cell>
        </row>
        <row r="52">
          <cell r="F52">
            <v>4.1583926402883691</v>
          </cell>
          <cell r="H52">
            <v>61.37135</v>
          </cell>
          <cell r="AA52">
            <v>9.6</v>
          </cell>
          <cell r="AB52">
            <v>3.9165722796764371</v>
          </cell>
        </row>
        <row r="53">
          <cell r="F53">
            <v>4.1968135209012747</v>
          </cell>
          <cell r="H53">
            <v>61.353891666666669</v>
          </cell>
          <cell r="AA53">
            <v>9.8000000000000007</v>
          </cell>
          <cell r="AB53">
            <v>3.4445195666211155</v>
          </cell>
        </row>
        <row r="54">
          <cell r="AA54">
            <v>10</v>
          </cell>
          <cell r="AB54">
            <v>3.0275691986950464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8">
          <cell r="F8">
            <v>3.8753071119831795</v>
          </cell>
          <cell r="G8">
            <v>33.883114503649999</v>
          </cell>
        </row>
        <row r="9">
          <cell r="F9">
            <v>3.771950109841514</v>
          </cell>
          <cell r="G9">
            <v>33.376268037233331</v>
          </cell>
        </row>
        <row r="10">
          <cell r="F10">
            <v>3.8526783293507876</v>
          </cell>
          <cell r="G10">
            <v>33.408423832083329</v>
          </cell>
        </row>
        <row r="11">
          <cell r="F11">
            <v>3.7836063872473904</v>
          </cell>
          <cell r="G11">
            <v>33.357732776166664</v>
          </cell>
        </row>
        <row r="12">
          <cell r="F12">
            <v>3.845382383203475</v>
          </cell>
          <cell r="G12">
            <v>33.930725322866664</v>
          </cell>
        </row>
        <row r="13">
          <cell r="F13">
            <v>3.8156544431732158</v>
          </cell>
          <cell r="G13">
            <v>33.735649491000004</v>
          </cell>
        </row>
        <row r="14">
          <cell r="F14">
            <v>3.750058897673199</v>
          </cell>
          <cell r="G14">
            <v>34.082405808866667</v>
          </cell>
        </row>
        <row r="15">
          <cell r="F15">
            <v>3.871781941183901</v>
          </cell>
          <cell r="G15">
            <v>34.186048387333329</v>
          </cell>
        </row>
        <row r="16">
          <cell r="F16">
            <v>3.939007860408184</v>
          </cell>
          <cell r="G16">
            <v>34.187478245466664</v>
          </cell>
        </row>
        <row r="17">
          <cell r="F17">
            <v>3.8245164971044385</v>
          </cell>
          <cell r="G17">
            <v>33.883043057516666</v>
          </cell>
        </row>
        <row r="18">
          <cell r="F18">
            <v>3.8946594762472415</v>
          </cell>
          <cell r="G18">
            <v>34.258059719299993</v>
          </cell>
        </row>
        <row r="19">
          <cell r="F19">
            <v>3.8488813587877679</v>
          </cell>
          <cell r="G19">
            <v>33.898188553799997</v>
          </cell>
        </row>
        <row r="20">
          <cell r="F20">
            <v>3.8673111090641257</v>
          </cell>
          <cell r="G20">
            <v>33.761093054133333</v>
          </cell>
        </row>
        <row r="21">
          <cell r="F21">
            <v>3.9255296668383508</v>
          </cell>
          <cell r="G21">
            <v>33.857178679183335</v>
          </cell>
        </row>
        <row r="22">
          <cell r="F22">
            <v>3.920967635903601</v>
          </cell>
          <cell r="G22">
            <v>34.189069878699996</v>
          </cell>
        </row>
        <row r="23">
          <cell r="F23">
            <v>3.9650918822603263</v>
          </cell>
          <cell r="G23">
            <v>34.281706371508335</v>
          </cell>
        </row>
        <row r="24">
          <cell r="F24">
            <v>3.9374359327228117</v>
          </cell>
          <cell r="G24">
            <v>34.000366148591667</v>
          </cell>
        </row>
        <row r="25">
          <cell r="F25">
            <v>3.9338813130871646</v>
          </cell>
          <cell r="G25">
            <v>34.467384441333337</v>
          </cell>
        </row>
        <row r="26">
          <cell r="F26">
            <v>3.9440630181452985</v>
          </cell>
          <cell r="G26">
            <v>34.369545599991667</v>
          </cell>
        </row>
        <row r="27">
          <cell r="F27">
            <v>3.9715401800441619</v>
          </cell>
          <cell r="G27">
            <v>33.837983025249997</v>
          </cell>
        </row>
        <row r="28">
          <cell r="F28">
            <v>3.9916034853967197</v>
          </cell>
          <cell r="G28">
            <v>33.887138319266668</v>
          </cell>
        </row>
        <row r="29">
          <cell r="F29">
            <v>4.0211674920103864</v>
          </cell>
          <cell r="G29">
            <v>34.002517115250001</v>
          </cell>
        </row>
        <row r="30">
          <cell r="F30">
            <v>4.06711158460398</v>
          </cell>
          <cell r="G30">
            <v>34.337025805900005</v>
          </cell>
        </row>
        <row r="31">
          <cell r="F31">
            <v>4.0169911209802809</v>
          </cell>
          <cell r="G31">
            <v>34.063381266099995</v>
          </cell>
        </row>
        <row r="32">
          <cell r="F32">
            <v>4.0302984251920204</v>
          </cell>
          <cell r="G32">
            <v>34.422878877583329</v>
          </cell>
        </row>
        <row r="33">
          <cell r="F33">
            <v>3.981977456859644</v>
          </cell>
          <cell r="G33">
            <v>34.882520980533336</v>
          </cell>
        </row>
        <row r="34">
          <cell r="F34">
            <v>4.0684305637749336</v>
          </cell>
          <cell r="G34">
            <v>34.144423375416665</v>
          </cell>
        </row>
        <row r="35">
          <cell r="F35">
            <v>4.0557197061061583</v>
          </cell>
          <cell r="G35">
            <v>34.164650615416662</v>
          </cell>
        </row>
        <row r="36">
          <cell r="F36">
            <v>4.0762941362766849</v>
          </cell>
          <cell r="G36">
            <v>34.513415285199997</v>
          </cell>
        </row>
        <row r="37">
          <cell r="F37">
            <v>4.1130491674421688</v>
          </cell>
          <cell r="G37">
            <v>34.646404646116665</v>
          </cell>
        </row>
        <row r="38">
          <cell r="F38">
            <v>4.0906248719112348</v>
          </cell>
          <cell r="G38">
            <v>34.7095074908</v>
          </cell>
        </row>
        <row r="39">
          <cell r="F39">
            <v>4.0593836793560545</v>
          </cell>
          <cell r="G39">
            <v>34.567664492958336</v>
          </cell>
        </row>
        <row r="40">
          <cell r="F40">
            <v>4.0597210638120824</v>
          </cell>
          <cell r="G40">
            <v>34.923338950516658</v>
          </cell>
        </row>
        <row r="41">
          <cell r="F41">
            <v>4.0398463424244735</v>
          </cell>
          <cell r="G41">
            <v>34.845198771866663</v>
          </cell>
        </row>
        <row r="42">
          <cell r="F42">
            <v>4.0413443902189954</v>
          </cell>
          <cell r="G42">
            <v>34.815390664391671</v>
          </cell>
        </row>
        <row r="43">
          <cell r="F43">
            <v>4.061178209225476</v>
          </cell>
          <cell r="G43">
            <v>34.510161191575001</v>
          </cell>
        </row>
        <row r="44">
          <cell r="F44">
            <v>4.0659816968403284</v>
          </cell>
          <cell r="G44">
            <v>34.858452765000003</v>
          </cell>
        </row>
        <row r="45">
          <cell r="F45">
            <v>4.0135402956757549</v>
          </cell>
          <cell r="G45">
            <v>35.106856767699995</v>
          </cell>
        </row>
        <row r="46">
          <cell r="F46">
            <v>4.0528913343009698</v>
          </cell>
          <cell r="G46">
            <v>34.714799308083329</v>
          </cell>
        </row>
        <row r="47">
          <cell r="F47">
            <v>4.0649898042148962</v>
          </cell>
          <cell r="G47">
            <v>34.805158510699997</v>
          </cell>
        </row>
        <row r="48">
          <cell r="F48">
            <v>4.055503958709318</v>
          </cell>
          <cell r="G48">
            <v>34.902591924858335</v>
          </cell>
        </row>
        <row r="49">
          <cell r="F49">
            <v>4.1199542889426581</v>
          </cell>
          <cell r="G49">
            <v>34.992396118733325</v>
          </cell>
        </row>
        <row r="50">
          <cell r="F50">
            <v>4.1904572515996446</v>
          </cell>
          <cell r="G50">
            <v>35.321849091666664</v>
          </cell>
        </row>
        <row r="51">
          <cell r="F51">
            <v>4.1412261804845265</v>
          </cell>
          <cell r="G51">
            <v>35.733387376466666</v>
          </cell>
        </row>
        <row r="52">
          <cell r="F52">
            <v>4.2239308373054101</v>
          </cell>
          <cell r="G52">
            <v>35.351639489950003</v>
          </cell>
        </row>
        <row r="53">
          <cell r="F53">
            <v>4.1583926402883691</v>
          </cell>
          <cell r="G53">
            <v>35.262245594733329</v>
          </cell>
        </row>
        <row r="54">
          <cell r="F54">
            <v>4.1968135209012747</v>
          </cell>
          <cell r="G54">
            <v>35.533597035299998</v>
          </cell>
        </row>
        <row r="55">
          <cell r="F55">
            <v>4.2546430152314212</v>
          </cell>
          <cell r="G55">
            <v>35.524814540533328</v>
          </cell>
        </row>
        <row r="56">
          <cell r="F56">
            <v>4.2273250249196739</v>
          </cell>
          <cell r="G56">
            <v>35.152432931199996</v>
          </cell>
        </row>
      </sheetData>
      <sheetData sheetId="35" refreshError="1"/>
      <sheetData sheetId="36">
        <row r="4">
          <cell r="W4">
            <v>0</v>
          </cell>
          <cell r="X4">
            <v>24.105178502259534</v>
          </cell>
        </row>
        <row r="5">
          <cell r="W5">
            <v>0.2</v>
          </cell>
          <cell r="X5">
            <v>24.372947856858982</v>
          </cell>
        </row>
        <row r="6">
          <cell r="W6">
            <v>0.4</v>
          </cell>
          <cell r="X6">
            <v>24.661516251732994</v>
          </cell>
        </row>
        <row r="7">
          <cell r="W7">
            <v>0.6</v>
          </cell>
          <cell r="X7">
            <v>24.972095406998314</v>
          </cell>
        </row>
        <row r="8">
          <cell r="W8">
            <v>0.8</v>
          </cell>
          <cell r="X8">
            <v>25.305897055807065</v>
          </cell>
        </row>
        <row r="9">
          <cell r="W9">
            <v>1</v>
          </cell>
          <cell r="X9">
            <v>25.664118766445576</v>
          </cell>
        </row>
        <row r="10">
          <cell r="W10">
            <v>1.2</v>
          </cell>
          <cell r="X10">
            <v>26.04792751282735</v>
          </cell>
        </row>
        <row r="11">
          <cell r="W11">
            <v>1.4</v>
          </cell>
          <cell r="X11">
            <v>26.458440952508553</v>
          </cell>
        </row>
        <row r="12">
          <cell r="W12">
            <v>1.6</v>
          </cell>
          <cell r="X12">
            <v>26.896706442152301</v>
          </cell>
        </row>
        <row r="13">
          <cell r="W13">
            <v>1.8</v>
          </cell>
          <cell r="X13">
            <v>27.363677908571276</v>
          </cell>
        </row>
        <row r="14">
          <cell r="W14">
            <v>2</v>
          </cell>
          <cell r="X14">
            <v>27.860190799016035</v>
          </cell>
        </row>
        <row r="15">
          <cell r="W15">
            <v>2.2000000000000002</v>
          </cell>
          <cell r="X15">
            <v>28.386935455876685</v>
          </cell>
        </row>
        <row r="16">
          <cell r="W16">
            <v>2.4</v>
          </cell>
          <cell r="X16">
            <v>28.944429395417711</v>
          </cell>
        </row>
        <row r="17">
          <cell r="W17">
            <v>2.6</v>
          </cell>
          <cell r="X17">
            <v>29.532989112634418</v>
          </cell>
        </row>
        <row r="18">
          <cell r="W18">
            <v>2.8</v>
          </cell>
          <cell r="X18">
            <v>30.152702177767328</v>
          </cell>
        </row>
        <row r="19">
          <cell r="W19">
            <v>3</v>
          </cell>
          <cell r="X19">
            <v>30.803400525294869</v>
          </cell>
        </row>
        <row r="20">
          <cell r="W20">
            <v>3.2</v>
          </cell>
          <cell r="X20">
            <v>31.484635952334607</v>
          </cell>
        </row>
        <row r="21">
          <cell r="W21">
            <v>3.4</v>
          </cell>
          <cell r="X21">
            <v>32.19565892798034</v>
          </cell>
        </row>
        <row r="22">
          <cell r="W22">
            <v>3.6</v>
          </cell>
          <cell r="X22">
            <v>32.935401855383972</v>
          </cell>
        </row>
        <row r="23">
          <cell r="W23">
            <v>3.8</v>
          </cell>
          <cell r="X23">
            <v>33.702467912277413</v>
          </cell>
        </row>
        <row r="24">
          <cell r="W24">
            <v>4</v>
          </cell>
          <cell r="X24">
            <v>34.495126513196695</v>
          </cell>
        </row>
        <row r="25">
          <cell r="W25">
            <v>4.2</v>
          </cell>
          <cell r="X25">
            <v>35.311316281702496</v>
          </cell>
        </row>
        <row r="26">
          <cell r="W26">
            <v>4.4000000000000004</v>
          </cell>
          <cell r="X26">
            <v>36.148656192357294</v>
          </cell>
        </row>
        <row r="27">
          <cell r="W27">
            <v>4.5999999999999996</v>
          </cell>
          <cell r="X27">
            <v>37.004465245440066</v>
          </cell>
        </row>
        <row r="28">
          <cell r="W28">
            <v>4.8</v>
          </cell>
          <cell r="X28">
            <v>37.875790684627631</v>
          </cell>
        </row>
        <row r="29">
          <cell r="W29">
            <v>5</v>
          </cell>
          <cell r="X29">
            <v>38.759444378215207</v>
          </cell>
        </row>
        <row r="30">
          <cell r="W30">
            <v>5.2</v>
          </cell>
          <cell r="X30">
            <v>39.652046582683965</v>
          </cell>
        </row>
        <row r="31">
          <cell r="W31">
            <v>5.4</v>
          </cell>
          <cell r="X31">
            <v>40.550075922125814</v>
          </cell>
        </row>
        <row r="32">
          <cell r="W32">
            <v>5.6</v>
          </cell>
          <cell r="X32">
            <v>41.449924077874186</v>
          </cell>
        </row>
        <row r="33">
          <cell r="W33">
            <v>5.8</v>
          </cell>
          <cell r="X33">
            <v>42.347953417316035</v>
          </cell>
        </row>
        <row r="34">
          <cell r="W34">
            <v>6</v>
          </cell>
          <cell r="X34">
            <v>43.240555621784793</v>
          </cell>
        </row>
        <row r="35">
          <cell r="W35">
            <v>6.2</v>
          </cell>
          <cell r="X35">
            <v>44.124209315372369</v>
          </cell>
        </row>
        <row r="36">
          <cell r="W36">
            <v>6.4</v>
          </cell>
          <cell r="X36">
            <v>44.995534754559934</v>
          </cell>
        </row>
        <row r="37">
          <cell r="W37">
            <v>6.6</v>
          </cell>
          <cell r="X37">
            <v>45.851343807642714</v>
          </cell>
        </row>
        <row r="38">
          <cell r="W38">
            <v>6.8</v>
          </cell>
          <cell r="X38">
            <v>46.688683718297504</v>
          </cell>
        </row>
        <row r="39">
          <cell r="W39">
            <v>7</v>
          </cell>
          <cell r="X39">
            <v>47.504873486803305</v>
          </cell>
        </row>
        <row r="40">
          <cell r="W40">
            <v>7.2</v>
          </cell>
          <cell r="X40">
            <v>48.297532087722587</v>
          </cell>
        </row>
        <row r="41">
          <cell r="W41">
            <v>7.4</v>
          </cell>
          <cell r="X41">
            <v>49.064598144616028</v>
          </cell>
        </row>
        <row r="42">
          <cell r="W42">
            <v>7.6</v>
          </cell>
          <cell r="X42">
            <v>49.804341072019653</v>
          </cell>
        </row>
        <row r="43">
          <cell r="W43">
            <v>7.8</v>
          </cell>
          <cell r="X43">
            <v>50.515364047665393</v>
          </cell>
        </row>
        <row r="44">
          <cell r="W44">
            <v>8</v>
          </cell>
          <cell r="X44">
            <v>51.196599474705131</v>
          </cell>
        </row>
        <row r="45">
          <cell r="W45">
            <v>8.1999999999999993</v>
          </cell>
          <cell r="X45">
            <v>51.847297822232662</v>
          </cell>
        </row>
        <row r="46">
          <cell r="W46">
            <v>8.4</v>
          </cell>
          <cell r="X46">
            <v>52.467010887365589</v>
          </cell>
        </row>
        <row r="47">
          <cell r="W47">
            <v>8.6</v>
          </cell>
          <cell r="X47">
            <v>53.055570604582286</v>
          </cell>
        </row>
        <row r="48">
          <cell r="W48">
            <v>8.8000000000000007</v>
          </cell>
          <cell r="X48">
            <v>53.613064544123318</v>
          </cell>
        </row>
        <row r="49">
          <cell r="W49">
            <v>9</v>
          </cell>
          <cell r="X49">
            <v>54.139809200983969</v>
          </cell>
        </row>
        <row r="50">
          <cell r="W50">
            <v>9.1999999999999993</v>
          </cell>
          <cell r="X50">
            <v>54.636322091428724</v>
          </cell>
        </row>
        <row r="51">
          <cell r="W51">
            <v>9.4</v>
          </cell>
          <cell r="X51">
            <v>55.103293557847699</v>
          </cell>
        </row>
        <row r="52">
          <cell r="W52">
            <v>9.6</v>
          </cell>
          <cell r="X52">
            <v>55.541559047491447</v>
          </cell>
        </row>
        <row r="53">
          <cell r="W53">
            <v>9.8000000000000007</v>
          </cell>
          <cell r="X53">
            <v>55.95207248717265</v>
          </cell>
        </row>
        <row r="54">
          <cell r="W54">
            <v>10</v>
          </cell>
          <cell r="X54">
            <v>56.335881233554424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flycarpet.net/en/psyonli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1CD7-5660-41D5-B716-22A017A7A3AB}">
  <dimension ref="A1:BI163"/>
  <sheetViews>
    <sheetView tabSelected="1" topLeftCell="D1" workbookViewId="0">
      <selection activeCell="R6" sqref="R6"/>
    </sheetView>
  </sheetViews>
  <sheetFormatPr defaultRowHeight="18.75" x14ac:dyDescent="0.3"/>
  <cols>
    <col min="1" max="1" width="52" style="1" customWidth="1"/>
    <col min="2" max="2" width="11.7109375" style="1" customWidth="1"/>
    <col min="3" max="3" width="12.85546875" style="1" customWidth="1"/>
    <col min="4" max="4" width="10.5703125" style="1" customWidth="1"/>
    <col min="5" max="5" width="10" style="1" customWidth="1"/>
    <col min="6" max="6" width="12" style="1" bestFit="1" customWidth="1"/>
    <col min="7" max="7" width="13.85546875" style="1" customWidth="1"/>
    <col min="8" max="8" width="14.42578125" style="1" customWidth="1"/>
    <col min="9" max="9" width="13.28515625" style="1" customWidth="1"/>
    <col min="10" max="10" width="13.5703125" style="1" customWidth="1"/>
    <col min="11" max="11" width="10" style="1" customWidth="1"/>
    <col min="12" max="12" width="16" style="1" customWidth="1"/>
    <col min="13" max="13" width="13.85546875" style="1" customWidth="1"/>
    <col min="14" max="14" width="11.5703125" style="1" customWidth="1"/>
    <col min="15" max="15" width="11.85546875" style="1" customWidth="1"/>
    <col min="16" max="16" width="10.140625" style="1" customWidth="1"/>
    <col min="17" max="17" width="12.28515625" style="1" customWidth="1"/>
    <col min="18" max="18" width="12.7109375" style="1" customWidth="1"/>
    <col min="19" max="19" width="9.5703125" style="1" bestFit="1" customWidth="1"/>
    <col min="20" max="20" width="9.28515625" style="1" bestFit="1" customWidth="1"/>
    <col min="21" max="21" width="11.85546875" style="1" customWidth="1"/>
    <col min="22" max="22" width="13.42578125" style="1" customWidth="1"/>
    <col min="23" max="24" width="14.140625" style="1" customWidth="1"/>
    <col min="25" max="25" width="9.28515625" style="28" bestFit="1" customWidth="1"/>
    <col min="26" max="26" width="9.5703125" style="28" bestFit="1" customWidth="1"/>
    <col min="27" max="27" width="9.5703125" style="1" bestFit="1" customWidth="1"/>
    <col min="28" max="28" width="9.5703125" style="1" customWidth="1"/>
    <col min="29" max="29" width="12.42578125" style="1" customWidth="1"/>
    <col min="30" max="30" width="13.5703125" style="1" bestFit="1" customWidth="1"/>
    <col min="31" max="31" width="12.7109375" style="1" bestFit="1" customWidth="1"/>
    <col min="32" max="32" width="13.85546875" style="1" bestFit="1" customWidth="1"/>
    <col min="33" max="33" width="13.7109375" style="1" customWidth="1"/>
    <col min="34" max="34" width="13.85546875" style="1" bestFit="1" customWidth="1"/>
    <col min="35" max="35" width="13.7109375" style="1" customWidth="1"/>
    <col min="36" max="36" width="13.85546875" style="1" bestFit="1" customWidth="1"/>
    <col min="37" max="37" width="9.5703125" style="2" bestFit="1" customWidth="1"/>
    <col min="38" max="38" width="10.7109375" style="1" bestFit="1" customWidth="1"/>
    <col min="39" max="39" width="9.5703125" style="1" bestFit="1" customWidth="1"/>
    <col min="40" max="43" width="9.140625" style="1"/>
    <col min="44" max="44" width="11.85546875" style="1" customWidth="1"/>
    <col min="45" max="47" width="9.140625" style="1"/>
    <col min="48" max="48" width="10.5703125" style="1" bestFit="1" customWidth="1"/>
    <col min="49" max="49" width="10.5703125" style="1" customWidth="1"/>
    <col min="50" max="50" width="10.5703125" style="1" bestFit="1" customWidth="1"/>
    <col min="51" max="16384" width="9.140625" style="1"/>
  </cols>
  <sheetData>
    <row r="1" spans="1:61" ht="26.25" x14ac:dyDescent="0.4">
      <c r="A1" s="116" t="s">
        <v>70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</row>
    <row r="2" spans="1:61" ht="46.5" customHeight="1" x14ac:dyDescent="0.3">
      <c r="A2" s="117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61" x14ac:dyDescent="0.3">
      <c r="A3" s="118" t="s">
        <v>68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61" ht="19.5" thickBot="1" x14ac:dyDescent="0.35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</row>
    <row r="5" spans="1:61" ht="22.5" thickTop="1" thickBot="1" x14ac:dyDescent="0.4">
      <c r="B5" s="35"/>
      <c r="C5" s="35"/>
      <c r="D5" s="35"/>
      <c r="E5" s="35"/>
      <c r="F5" s="35"/>
      <c r="G5" s="35"/>
      <c r="H5" s="35"/>
      <c r="I5" s="35"/>
      <c r="J5" s="35"/>
      <c r="K5" s="35"/>
      <c r="L5" s="121" t="s">
        <v>69</v>
      </c>
      <c r="M5" s="122"/>
      <c r="N5" s="122"/>
      <c r="O5" s="122"/>
      <c r="P5" s="123"/>
      <c r="Q5" s="35"/>
      <c r="R5" s="35"/>
      <c r="S5" s="35"/>
      <c r="T5" s="35"/>
      <c r="U5" s="35"/>
      <c r="V5" s="35"/>
      <c r="W5" s="35"/>
      <c r="X5" s="35"/>
      <c r="Y5" s="35"/>
      <c r="Z5" s="35"/>
      <c r="AA5" s="3"/>
      <c r="AB5" s="3"/>
      <c r="AC5" s="3"/>
    </row>
    <row r="6" spans="1:61" s="4" customFormat="1" ht="95.25" thickTop="1" thickBot="1" x14ac:dyDescent="0.35">
      <c r="D6" s="50"/>
      <c r="L6" s="51" t="s">
        <v>3</v>
      </c>
      <c r="M6" s="51" t="s">
        <v>4</v>
      </c>
      <c r="N6" s="51" t="s">
        <v>5</v>
      </c>
      <c r="O6" s="51" t="s">
        <v>6</v>
      </c>
      <c r="P6" s="51" t="s">
        <v>7</v>
      </c>
      <c r="T6" s="52"/>
      <c r="V6" s="53"/>
      <c r="Z6" s="5"/>
      <c r="AA6" s="6"/>
      <c r="AB6" s="7"/>
      <c r="AC6" s="5"/>
      <c r="AD6" s="5"/>
      <c r="AE6" s="5"/>
      <c r="AF6" s="8"/>
      <c r="AG6" s="5"/>
      <c r="AH6" s="5"/>
      <c r="AI6" s="5"/>
      <c r="AJ6" s="5"/>
      <c r="AK6" s="5"/>
      <c r="AL6" s="5"/>
      <c r="AM6" s="5"/>
      <c r="AY6" s="5"/>
      <c r="AZ6" s="5"/>
      <c r="BB6" s="5"/>
      <c r="BC6" s="5"/>
      <c r="BG6" s="5"/>
      <c r="BH6" s="5"/>
    </row>
    <row r="7" spans="1:61" s="4" customFormat="1" ht="30" customHeight="1" thickTop="1" thickBot="1" x14ac:dyDescent="0.4">
      <c r="C7" s="121" t="s">
        <v>2</v>
      </c>
      <c r="D7" s="122"/>
      <c r="E7" s="122"/>
      <c r="F7" s="122"/>
      <c r="G7" s="122"/>
      <c r="H7" s="122"/>
      <c r="I7" s="122"/>
      <c r="J7" s="122"/>
      <c r="K7" s="123"/>
      <c r="L7" s="54">
        <v>1141</v>
      </c>
      <c r="M7" s="54">
        <v>494</v>
      </c>
      <c r="N7" s="55">
        <f>L7*P7+M7*(1-P7)</f>
        <v>953.37</v>
      </c>
      <c r="O7" s="56">
        <v>0</v>
      </c>
      <c r="P7" s="57">
        <v>0.71</v>
      </c>
      <c r="Q7" s="58" t="s">
        <v>8</v>
      </c>
      <c r="T7" s="52"/>
      <c r="V7" s="53"/>
      <c r="Z7" s="5"/>
      <c r="AA7" s="6"/>
      <c r="AB7" s="7"/>
      <c r="AC7" s="5"/>
      <c r="AD7" s="5"/>
      <c r="AE7" s="5"/>
      <c r="AF7" s="8"/>
      <c r="AG7" s="5"/>
      <c r="AH7" s="5"/>
      <c r="AI7" s="5"/>
      <c r="AJ7" s="5"/>
      <c r="AK7" s="5"/>
      <c r="AL7" s="5"/>
      <c r="AM7" s="5"/>
      <c r="AY7" s="5"/>
      <c r="AZ7" s="5"/>
      <c r="BB7" s="5"/>
      <c r="BC7" s="5"/>
      <c r="BG7" s="5"/>
      <c r="BH7" s="5"/>
    </row>
    <row r="8" spans="1:61" s="4" customFormat="1" ht="132.75" thickTop="1" thickBot="1" x14ac:dyDescent="0.35">
      <c r="A8" s="59"/>
      <c r="B8" s="60"/>
      <c r="C8" s="61" t="s">
        <v>9</v>
      </c>
      <c r="D8" s="61" t="s">
        <v>10</v>
      </c>
      <c r="E8" s="61" t="s">
        <v>11</v>
      </c>
      <c r="F8" s="51" t="s">
        <v>12</v>
      </c>
      <c r="G8" s="51" t="s">
        <v>13</v>
      </c>
      <c r="H8" s="51" t="s">
        <v>14</v>
      </c>
      <c r="I8" s="51" t="s">
        <v>15</v>
      </c>
      <c r="J8" s="51" t="s">
        <v>16</v>
      </c>
      <c r="K8" s="51" t="s">
        <v>17</v>
      </c>
      <c r="L8" s="62"/>
      <c r="M8" s="62"/>
      <c r="N8" s="63"/>
      <c r="O8" s="64"/>
      <c r="P8" s="65"/>
      <c r="Q8" s="65"/>
      <c r="R8" s="65" t="s">
        <v>18</v>
      </c>
      <c r="S8" s="65" t="s">
        <v>19</v>
      </c>
      <c r="T8" s="66" t="s">
        <v>20</v>
      </c>
      <c r="U8" s="65" t="s">
        <v>21</v>
      </c>
      <c r="V8" s="62"/>
      <c r="Z8" s="5"/>
      <c r="AA8" s="6"/>
      <c r="AB8" s="7"/>
      <c r="AC8" s="5"/>
      <c r="AD8" s="5"/>
      <c r="AE8" s="5"/>
      <c r="AF8" s="8"/>
      <c r="AG8" s="5"/>
      <c r="AH8" s="5"/>
      <c r="AI8" s="5"/>
      <c r="AJ8" s="5"/>
      <c r="AK8" s="5"/>
      <c r="AL8" s="5"/>
      <c r="AM8" s="5"/>
      <c r="AY8" s="5"/>
      <c r="AZ8" s="5"/>
      <c r="BB8" s="5"/>
      <c r="BC8" s="5"/>
      <c r="BG8" s="5"/>
      <c r="BH8" s="5"/>
    </row>
    <row r="9" spans="1:61" s="9" customFormat="1" ht="25.5" thickTop="1" thickBot="1" x14ac:dyDescent="0.45">
      <c r="A9" s="18"/>
      <c r="C9" s="10">
        <v>1975</v>
      </c>
      <c r="D9" s="67">
        <f>0.0185*C9-22.308</f>
        <v>14.229500000000002</v>
      </c>
      <c r="E9" s="67">
        <f>0.0073*C9-6.721</f>
        <v>7.6965000000000003</v>
      </c>
      <c r="F9" s="68">
        <f>IF(J9+K9=0,IF(J9=0,1,2),IF(K9=0,2,1))</f>
        <v>1</v>
      </c>
      <c r="G9" s="112">
        <v>4</v>
      </c>
      <c r="H9" s="113">
        <v>-0.15</v>
      </c>
      <c r="I9" s="114">
        <v>0.2</v>
      </c>
      <c r="J9" s="114">
        <v>0</v>
      </c>
      <c r="K9" s="114">
        <v>0</v>
      </c>
      <c r="L9" s="69">
        <f>L7</f>
        <v>1141</v>
      </c>
      <c r="M9" s="69">
        <f>(M7*(1-I9)+M7*(1+H9)*I9)</f>
        <v>479.18000000000006</v>
      </c>
      <c r="N9" s="63">
        <f>L9*P9+M9*(1-P9)</f>
        <v>949.07220000000007</v>
      </c>
      <c r="O9" s="70">
        <f>IF(H9=0,((N9-N7)/N7*F9),(N9-N7)/N7*G9*F9)</f>
        <v>-1.8032033732968054E-2</v>
      </c>
      <c r="P9" s="71">
        <f>P7-J9-K9</f>
        <v>0.71</v>
      </c>
      <c r="Q9" s="72"/>
      <c r="R9" s="124">
        <f>E74</f>
        <v>8.2456598693585832</v>
      </c>
      <c r="S9" s="124">
        <f>F74</f>
        <v>15.563682963474536</v>
      </c>
      <c r="T9" s="125">
        <f>F74-F28</f>
        <v>1.3341829634745341</v>
      </c>
      <c r="U9" s="124">
        <f>D74</f>
        <v>56.181770865952281</v>
      </c>
      <c r="V9" s="73"/>
      <c r="Z9" s="11"/>
      <c r="AA9" s="12"/>
      <c r="AB9" s="13"/>
      <c r="AC9" s="11"/>
      <c r="AD9" s="11"/>
      <c r="AE9" s="11"/>
      <c r="AF9" s="14"/>
      <c r="AG9" s="11"/>
      <c r="AH9" s="11"/>
      <c r="AI9" s="11"/>
      <c r="AJ9" s="11"/>
      <c r="AK9" s="11"/>
      <c r="AL9" s="11"/>
      <c r="AM9" s="11"/>
      <c r="AY9" s="11"/>
      <c r="AZ9" s="11"/>
      <c r="BB9" s="11"/>
      <c r="BC9" s="11"/>
      <c r="BG9" s="11"/>
      <c r="BH9" s="11"/>
    </row>
    <row r="10" spans="1:61" s="9" customFormat="1" ht="19.5" thickTop="1" x14ac:dyDescent="0.3">
      <c r="A10" s="18"/>
      <c r="C10" s="74"/>
      <c r="D10" s="74"/>
      <c r="E10" s="74"/>
      <c r="F10" s="75"/>
      <c r="G10" s="76"/>
      <c r="H10" s="76"/>
      <c r="I10" s="76"/>
      <c r="J10" s="76"/>
      <c r="K10" s="76"/>
      <c r="L10" s="76"/>
      <c r="M10" s="76"/>
      <c r="N10" s="77"/>
      <c r="O10" s="76"/>
      <c r="P10" s="76"/>
      <c r="Q10" s="76"/>
      <c r="R10" s="76"/>
      <c r="S10" s="76"/>
      <c r="T10" s="76"/>
      <c r="U10" s="78"/>
      <c r="V10" s="76"/>
      <c r="AA10" s="11"/>
      <c r="AB10" s="12"/>
      <c r="AC10" s="13"/>
      <c r="AD10" s="11"/>
      <c r="AE10" s="11"/>
      <c r="AF10" s="11"/>
      <c r="AG10" s="14"/>
      <c r="AH10" s="11"/>
      <c r="AI10" s="11"/>
      <c r="AJ10" s="11"/>
      <c r="AK10" s="11"/>
      <c r="AL10" s="11"/>
      <c r="AM10" s="11"/>
      <c r="AN10" s="11"/>
      <c r="AZ10" s="11"/>
      <c r="BA10" s="11"/>
      <c r="BC10" s="11"/>
      <c r="BD10" s="11"/>
      <c r="BH10" s="11"/>
      <c r="BI10" s="11"/>
    </row>
    <row r="11" spans="1:61" s="9" customFormat="1" ht="26.25" x14ac:dyDescent="0.4">
      <c r="A11" s="79" t="s">
        <v>22</v>
      </c>
      <c r="B11" s="80"/>
      <c r="C11" s="80"/>
      <c r="D11" s="80"/>
      <c r="E11" s="80"/>
      <c r="F11" s="81"/>
      <c r="M11" s="11"/>
      <c r="AA11" s="11"/>
      <c r="AB11" s="12"/>
      <c r="AC11" s="13"/>
      <c r="AD11" s="11"/>
      <c r="AE11" s="11"/>
      <c r="AF11" s="11"/>
      <c r="AG11" s="14"/>
      <c r="AH11" s="11"/>
      <c r="AI11" s="11"/>
      <c r="AJ11" s="11"/>
      <c r="AK11" s="11"/>
      <c r="AL11" s="11"/>
      <c r="AM11" s="11"/>
      <c r="AN11" s="11"/>
      <c r="AZ11" s="11"/>
      <c r="BA11" s="11"/>
      <c r="BC11" s="11"/>
      <c r="BD11" s="11"/>
      <c r="BH11" s="11"/>
      <c r="BI11" s="11"/>
    </row>
    <row r="12" spans="1:61" s="9" customFormat="1" x14ac:dyDescent="0.3">
      <c r="B12" s="82" t="s">
        <v>23</v>
      </c>
      <c r="C12" s="82">
        <v>1975</v>
      </c>
      <c r="D12" s="83">
        <v>14.229500000000002</v>
      </c>
      <c r="E12" s="83">
        <v>7.6965000000000003</v>
      </c>
      <c r="F12" s="15">
        <v>1</v>
      </c>
      <c r="G12" s="84">
        <v>4</v>
      </c>
      <c r="H12" s="85">
        <v>-0.25</v>
      </c>
      <c r="I12" s="85">
        <v>0.1</v>
      </c>
      <c r="J12" s="86">
        <v>0</v>
      </c>
      <c r="K12" s="86">
        <v>0</v>
      </c>
      <c r="L12" s="87">
        <v>1141</v>
      </c>
      <c r="M12" s="87">
        <v>481.65000000000003</v>
      </c>
      <c r="N12" s="87">
        <v>949.7885</v>
      </c>
      <c r="O12" s="88">
        <v>-1.5026694777473617E-2</v>
      </c>
      <c r="P12" s="28">
        <v>0.71</v>
      </c>
      <c r="Q12" s="1"/>
      <c r="R12" s="89">
        <v>8.162464353069435</v>
      </c>
      <c r="S12" s="89">
        <v>15.359638687972396</v>
      </c>
      <c r="T12" s="89">
        <v>1.1301386879723943</v>
      </c>
      <c r="U12" s="90">
        <v>57.779821012517338</v>
      </c>
      <c r="Y12" s="1"/>
      <c r="Z12" s="91"/>
      <c r="AB12" s="12"/>
      <c r="AC12" s="12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6"/>
      <c r="AV12" s="11"/>
      <c r="AX12" s="17"/>
      <c r="AY12" s="11"/>
      <c r="AZ12" s="11"/>
    </row>
    <row r="13" spans="1:61" s="9" customFormat="1" x14ac:dyDescent="0.3">
      <c r="B13" s="82" t="s">
        <v>24</v>
      </c>
      <c r="C13" s="82">
        <v>2024</v>
      </c>
      <c r="D13" s="83">
        <v>15.135999999999996</v>
      </c>
      <c r="E13" s="83">
        <v>8.0541999999999998</v>
      </c>
      <c r="F13" s="92">
        <v>1</v>
      </c>
      <c r="G13" s="84">
        <v>4</v>
      </c>
      <c r="H13" s="85">
        <v>-0.25</v>
      </c>
      <c r="I13" s="85">
        <v>0.1</v>
      </c>
      <c r="J13" s="86">
        <v>0</v>
      </c>
      <c r="K13" s="86">
        <v>0</v>
      </c>
      <c r="L13" s="87">
        <v>1141</v>
      </c>
      <c r="M13" s="87">
        <v>481.65000000000003</v>
      </c>
      <c r="N13" s="87">
        <v>949.7885</v>
      </c>
      <c r="O13" s="88">
        <v>-1.5026694777473617E-2</v>
      </c>
      <c r="P13" s="28">
        <v>0.71</v>
      </c>
      <c r="Q13" s="93"/>
      <c r="R13" s="89">
        <v>8.5571602804237141</v>
      </c>
      <c r="S13" s="89">
        <v>16.293801296480154</v>
      </c>
      <c r="T13" s="89">
        <v>1.1578012964801587</v>
      </c>
      <c r="U13" s="90">
        <v>50.375827038347559</v>
      </c>
      <c r="Y13" s="1"/>
      <c r="AN13" s="11"/>
      <c r="AO13" s="11"/>
      <c r="AP13" s="11"/>
      <c r="AQ13" s="11"/>
      <c r="AR13" s="11"/>
      <c r="AS13" s="11"/>
      <c r="AT13" s="16"/>
      <c r="AV13" s="11"/>
      <c r="AX13" s="17"/>
      <c r="AY13" s="11"/>
      <c r="AZ13" s="11"/>
    </row>
    <row r="14" spans="1:61" x14ac:dyDescent="0.3">
      <c r="B14" s="18" t="s">
        <v>25</v>
      </c>
      <c r="C14" s="18">
        <v>2024</v>
      </c>
      <c r="D14" s="83">
        <v>15.135999999999996</v>
      </c>
      <c r="E14" s="83">
        <v>8.0541999999999998</v>
      </c>
      <c r="F14" s="19">
        <v>1</v>
      </c>
      <c r="G14" s="20">
        <v>4</v>
      </c>
      <c r="H14" s="94">
        <v>0.2</v>
      </c>
      <c r="I14" s="94">
        <v>0.15</v>
      </c>
      <c r="J14" s="95">
        <v>0</v>
      </c>
      <c r="K14" s="95">
        <v>0</v>
      </c>
      <c r="L14" s="96">
        <v>1141</v>
      </c>
      <c r="M14" s="96">
        <v>508.81999999999994</v>
      </c>
      <c r="N14" s="96">
        <v>957.66779999999994</v>
      </c>
      <c r="O14" s="97">
        <v>1.8032033732968054E-2</v>
      </c>
      <c r="P14" s="28">
        <v>0.71</v>
      </c>
      <c r="Q14" s="93"/>
      <c r="R14" s="89">
        <v>7.6235647804104749</v>
      </c>
      <c r="S14" s="89">
        <v>13.912937096594414</v>
      </c>
      <c r="T14" s="89">
        <v>-1.223062903405582</v>
      </c>
      <c r="U14" s="98">
        <v>68.570353267355856</v>
      </c>
      <c r="Y14" s="1"/>
      <c r="Z14" s="1"/>
      <c r="AF14" s="2"/>
      <c r="AG14" s="2"/>
      <c r="AH14" s="2"/>
      <c r="AI14" s="2"/>
      <c r="AJ14" s="2"/>
      <c r="AL14" s="2"/>
      <c r="AM14" s="2"/>
      <c r="AN14" s="2"/>
      <c r="AO14" s="2"/>
      <c r="AP14" s="2"/>
      <c r="AX14" s="21"/>
      <c r="AY14" s="2"/>
      <c r="AZ14" s="2"/>
    </row>
    <row r="15" spans="1:61" x14ac:dyDescent="0.3">
      <c r="B15" s="18" t="s">
        <v>26</v>
      </c>
      <c r="C15" s="18">
        <v>2024</v>
      </c>
      <c r="D15" s="83">
        <v>15.135999999999999</v>
      </c>
      <c r="E15" s="83">
        <v>8.0541999999999998</v>
      </c>
      <c r="F15" s="19">
        <v>2</v>
      </c>
      <c r="G15" s="20">
        <v>4</v>
      </c>
      <c r="H15" s="94">
        <v>0</v>
      </c>
      <c r="I15" s="94">
        <v>0</v>
      </c>
      <c r="J15" s="95">
        <v>-0.05</v>
      </c>
      <c r="K15" s="95">
        <v>0</v>
      </c>
      <c r="L15" s="96">
        <v>1141</v>
      </c>
      <c r="M15" s="96">
        <v>494</v>
      </c>
      <c r="N15" s="96">
        <v>985.72</v>
      </c>
      <c r="O15" s="99">
        <v>6.7864522693183174E-2</v>
      </c>
      <c r="P15" s="28">
        <v>0.76</v>
      </c>
      <c r="R15" s="89">
        <v>6.7856481565283051</v>
      </c>
      <c r="S15" s="89">
        <v>10.715603170294633</v>
      </c>
      <c r="T15" s="89">
        <v>-4.4203968297053624</v>
      </c>
      <c r="U15" s="98">
        <v>86.982331067765742</v>
      </c>
      <c r="Y15" s="1"/>
      <c r="Z15" s="1"/>
      <c r="AF15" s="2"/>
      <c r="AG15" s="2"/>
      <c r="AH15" s="2"/>
      <c r="AI15" s="2"/>
      <c r="AJ15" s="2"/>
      <c r="AL15" s="2"/>
      <c r="AM15" s="2"/>
      <c r="AN15" s="2"/>
      <c r="AO15" s="2"/>
      <c r="AP15" s="2"/>
      <c r="AS15" s="22"/>
      <c r="AX15" s="21"/>
    </row>
    <row r="16" spans="1:61" x14ac:dyDescent="0.3">
      <c r="B16" s="18" t="s">
        <v>27</v>
      </c>
      <c r="C16" s="18">
        <v>2024</v>
      </c>
      <c r="D16" s="83">
        <v>15.135999999999999</v>
      </c>
      <c r="E16" s="83">
        <v>8.0541999999999998</v>
      </c>
      <c r="F16" s="23">
        <v>2</v>
      </c>
      <c r="G16" s="20">
        <v>4</v>
      </c>
      <c r="H16" s="94">
        <v>0</v>
      </c>
      <c r="I16" s="94">
        <v>0</v>
      </c>
      <c r="J16" s="95">
        <v>0.05</v>
      </c>
      <c r="K16" s="95">
        <v>0</v>
      </c>
      <c r="L16" s="96">
        <v>1141</v>
      </c>
      <c r="M16" s="96">
        <v>494</v>
      </c>
      <c r="N16" s="96">
        <v>921.02</v>
      </c>
      <c r="O16" s="97">
        <v>-6.7864522693183174E-2</v>
      </c>
      <c r="P16" s="28">
        <v>0.65999999999999992</v>
      </c>
      <c r="R16" s="89">
        <v>10.420485694832012</v>
      </c>
      <c r="S16" s="89">
        <v>19.988630359906296</v>
      </c>
      <c r="T16" s="89">
        <v>4.8526303599062999</v>
      </c>
      <c r="U16" s="98">
        <v>22.317394007158651</v>
      </c>
      <c r="Y16" s="1"/>
      <c r="Z16" s="1"/>
      <c r="AF16" s="2"/>
      <c r="AG16" s="2"/>
      <c r="AH16" s="2"/>
      <c r="AI16" s="2"/>
      <c r="AJ16" s="2"/>
      <c r="AL16" s="2"/>
      <c r="AM16" s="2"/>
      <c r="AN16" s="2"/>
      <c r="AO16" s="2"/>
      <c r="AP16" s="2"/>
      <c r="AS16" s="22"/>
    </row>
    <row r="17" spans="1:49" x14ac:dyDescent="0.3">
      <c r="B17" s="18" t="s">
        <v>28</v>
      </c>
      <c r="C17" s="18">
        <v>2024</v>
      </c>
      <c r="D17" s="83">
        <v>15.135999999999999</v>
      </c>
      <c r="E17" s="83">
        <v>8.0541999999999998</v>
      </c>
      <c r="F17" s="23">
        <v>1</v>
      </c>
      <c r="G17" s="20">
        <v>4</v>
      </c>
      <c r="H17" s="94">
        <v>0</v>
      </c>
      <c r="I17" s="94">
        <v>0</v>
      </c>
      <c r="J17" s="95">
        <v>0</v>
      </c>
      <c r="K17" s="95">
        <v>-0.05</v>
      </c>
      <c r="L17" s="96">
        <v>1141</v>
      </c>
      <c r="M17" s="96">
        <v>494</v>
      </c>
      <c r="N17" s="96">
        <v>985.72</v>
      </c>
      <c r="O17" s="97">
        <v>3.3932261346591587E-2</v>
      </c>
      <c r="P17" s="28">
        <v>0.76</v>
      </c>
      <c r="R17" s="89">
        <v>7.2809926308513306</v>
      </c>
      <c r="S17" s="89">
        <v>12.826046207458267</v>
      </c>
      <c r="T17" s="89">
        <v>-2.3099537925417284</v>
      </c>
      <c r="U17" s="98">
        <v>75.79720192625723</v>
      </c>
      <c r="Y17" s="1"/>
      <c r="Z17" s="1"/>
      <c r="AF17" s="2"/>
      <c r="AG17" s="2"/>
      <c r="AH17" s="2"/>
      <c r="AI17" s="2"/>
      <c r="AJ17" s="2"/>
      <c r="AL17" s="2"/>
      <c r="AM17" s="2"/>
      <c r="AN17" s="2"/>
      <c r="AO17" s="2"/>
      <c r="AP17" s="2"/>
      <c r="AS17" s="22"/>
    </row>
    <row r="18" spans="1:49" x14ac:dyDescent="0.3">
      <c r="B18" s="18" t="s">
        <v>29</v>
      </c>
      <c r="C18" s="18">
        <v>2024</v>
      </c>
      <c r="D18" s="83">
        <v>15.135999999999999</v>
      </c>
      <c r="E18" s="83">
        <v>8.0541999999999998</v>
      </c>
      <c r="F18" s="23">
        <v>1</v>
      </c>
      <c r="G18" s="20">
        <v>4</v>
      </c>
      <c r="H18" s="94">
        <v>0</v>
      </c>
      <c r="I18" s="94">
        <v>0</v>
      </c>
      <c r="J18" s="95">
        <v>0</v>
      </c>
      <c r="K18" s="95">
        <v>0.05</v>
      </c>
      <c r="L18" s="96">
        <v>1141</v>
      </c>
      <c r="M18" s="96">
        <v>494</v>
      </c>
      <c r="N18" s="96">
        <v>921.02</v>
      </c>
      <c r="O18" s="97">
        <v>-3.3932261346591587E-2</v>
      </c>
      <c r="P18" s="28">
        <v>0.65999999999999992</v>
      </c>
      <c r="R18" s="89">
        <v>9.1978220321418132</v>
      </c>
      <c r="S18" s="89">
        <v>17.666403414661374</v>
      </c>
      <c r="T18" s="89">
        <v>2.5304034146613787</v>
      </c>
      <c r="U18" s="98">
        <v>39.390433769079834</v>
      </c>
      <c r="Y18" s="1"/>
      <c r="Z18" s="1"/>
      <c r="AF18" s="2"/>
      <c r="AG18" s="2"/>
      <c r="AH18" s="2"/>
      <c r="AI18" s="2"/>
      <c r="AJ18" s="2"/>
      <c r="AL18" s="2"/>
      <c r="AM18" s="2"/>
      <c r="AN18" s="2"/>
      <c r="AO18" s="2"/>
      <c r="AP18" s="2"/>
      <c r="AS18" s="22"/>
    </row>
    <row r="19" spans="1:49" x14ac:dyDescent="0.3">
      <c r="B19" s="18" t="s">
        <v>30</v>
      </c>
      <c r="C19" s="18">
        <v>2024</v>
      </c>
      <c r="D19" s="83">
        <v>15.135999999999999</v>
      </c>
      <c r="E19" s="83">
        <v>8.0541999999999998</v>
      </c>
      <c r="F19" s="24">
        <v>1</v>
      </c>
      <c r="G19" s="20">
        <v>4</v>
      </c>
      <c r="H19" s="94">
        <v>-0.2</v>
      </c>
      <c r="I19" s="94">
        <v>0.2</v>
      </c>
      <c r="J19" s="95">
        <v>-0.02</v>
      </c>
      <c r="K19" s="95">
        <v>-0.02</v>
      </c>
      <c r="L19" s="96">
        <v>1141</v>
      </c>
      <c r="M19" s="96">
        <v>474.24000000000007</v>
      </c>
      <c r="N19" s="96">
        <v>974.31000000000006</v>
      </c>
      <c r="O19" s="97">
        <v>8.785676075395725E-2</v>
      </c>
      <c r="P19" s="28">
        <v>0.75</v>
      </c>
      <c r="R19" s="89">
        <v>6.6273099016945274</v>
      </c>
      <c r="S19" s="89">
        <v>9.6204889054007729</v>
      </c>
      <c r="T19" s="89">
        <v>-5.5155110945992227</v>
      </c>
      <c r="U19" s="98">
        <v>91.192749649398067</v>
      </c>
      <c r="Y19" s="1"/>
      <c r="Z19" s="2"/>
      <c r="AA19" s="2"/>
      <c r="AK19" s="1"/>
      <c r="AP19" s="2"/>
      <c r="AQ19" s="2"/>
      <c r="AR19" s="2"/>
      <c r="AW19" s="25"/>
    </row>
    <row r="20" spans="1:49" x14ac:dyDescent="0.3">
      <c r="B20" s="18" t="s">
        <v>31</v>
      </c>
      <c r="C20" s="18">
        <v>2024</v>
      </c>
      <c r="D20" s="83">
        <v>15.135999999999999</v>
      </c>
      <c r="E20" s="83">
        <v>8.0541999999999998</v>
      </c>
      <c r="F20" s="19">
        <v>1</v>
      </c>
      <c r="G20" s="20">
        <v>4</v>
      </c>
      <c r="H20" s="94">
        <v>0.2</v>
      </c>
      <c r="I20" s="94">
        <v>0.2</v>
      </c>
      <c r="J20" s="95">
        <v>0.02</v>
      </c>
      <c r="K20" s="95">
        <v>0.02</v>
      </c>
      <c r="L20" s="96">
        <v>1141</v>
      </c>
      <c r="M20" s="96">
        <v>513.76</v>
      </c>
      <c r="N20" s="96">
        <v>934.01080000000002</v>
      </c>
      <c r="O20" s="97">
        <v>-8.1224288576313447E-2</v>
      </c>
      <c r="P20" s="28">
        <v>0.66999999999999993</v>
      </c>
      <c r="R20" s="89">
        <v>10.886383342324214</v>
      </c>
      <c r="S20" s="89">
        <v>20.81624410375132</v>
      </c>
      <c r="T20" s="26">
        <v>5.680244103751324</v>
      </c>
      <c r="U20" s="27">
        <v>17.158896757391005</v>
      </c>
      <c r="V20" s="2"/>
      <c r="X20" s="2"/>
      <c r="Y20" s="2"/>
      <c r="Z20" s="1"/>
      <c r="AK20" s="1"/>
      <c r="AN20" s="2"/>
      <c r="AO20" s="2"/>
      <c r="AP20" s="2"/>
    </row>
    <row r="21" spans="1:49" x14ac:dyDescent="0.3">
      <c r="B21" s="18"/>
      <c r="C21" s="18"/>
      <c r="D21" s="19"/>
      <c r="E21" s="20"/>
      <c r="F21" s="94"/>
      <c r="G21" s="94"/>
      <c r="H21" s="95"/>
      <c r="I21" s="95"/>
      <c r="J21" s="96"/>
      <c r="K21" s="96"/>
      <c r="L21" s="96"/>
      <c r="M21" s="97"/>
      <c r="N21" s="28"/>
      <c r="P21" s="89"/>
      <c r="Q21" s="89"/>
      <c r="R21" s="26"/>
      <c r="S21" s="27"/>
      <c r="T21" s="2"/>
      <c r="V21" s="2"/>
      <c r="W21" s="2"/>
      <c r="Y21" s="1"/>
      <c r="Z21" s="1"/>
      <c r="AK21" s="1"/>
      <c r="AL21" s="2"/>
      <c r="AM21" s="2"/>
      <c r="AN21" s="2"/>
    </row>
    <row r="22" spans="1:49" x14ac:dyDescent="0.3">
      <c r="B22" s="18"/>
      <c r="C22" s="18"/>
      <c r="D22" s="19"/>
      <c r="E22" s="20"/>
      <c r="F22" s="94"/>
      <c r="G22" s="94"/>
      <c r="H22" s="95"/>
      <c r="I22" s="95"/>
      <c r="J22" s="96"/>
      <c r="K22" s="96"/>
      <c r="L22" s="96"/>
      <c r="M22" s="97"/>
      <c r="N22" s="28"/>
      <c r="P22" s="89"/>
      <c r="Q22" s="89"/>
      <c r="R22" s="26"/>
      <c r="S22" s="27"/>
      <c r="T22" s="2"/>
      <c r="V22" s="2"/>
      <c r="W22" s="2"/>
      <c r="Y22" s="1"/>
      <c r="Z22" s="1"/>
      <c r="AK22" s="1"/>
      <c r="AL22" s="2"/>
      <c r="AM22" s="2"/>
      <c r="AN22" s="2"/>
    </row>
    <row r="23" spans="1:49" x14ac:dyDescent="0.3">
      <c r="B23" s="18"/>
      <c r="C23" s="18"/>
      <c r="D23" s="19"/>
      <c r="E23" s="20"/>
      <c r="F23" s="94"/>
      <c r="G23" s="94"/>
      <c r="H23" s="95"/>
      <c r="I23" s="95"/>
      <c r="J23" s="96"/>
      <c r="K23" s="96"/>
      <c r="L23" s="96"/>
      <c r="M23" s="100"/>
      <c r="P23" s="89"/>
      <c r="Q23" s="89"/>
      <c r="R23" s="26"/>
      <c r="S23" s="28"/>
      <c r="T23" s="2"/>
      <c r="V23" s="2"/>
      <c r="W23" s="2"/>
      <c r="Y23" s="1"/>
      <c r="Z23" s="1"/>
      <c r="AK23" s="1"/>
      <c r="AL23" s="2"/>
      <c r="AM23" s="2"/>
      <c r="AN23" s="2"/>
    </row>
    <row r="24" spans="1:49" x14ac:dyDescent="0.3">
      <c r="B24" s="18"/>
      <c r="C24" s="18"/>
      <c r="D24" s="19"/>
      <c r="E24" s="20"/>
      <c r="F24" s="94"/>
      <c r="G24" s="94"/>
      <c r="H24" s="95"/>
      <c r="I24" s="96"/>
      <c r="J24" s="96"/>
      <c r="K24" s="96"/>
      <c r="L24" s="100"/>
      <c r="O24" s="89"/>
      <c r="P24" s="89"/>
      <c r="Q24" s="26"/>
      <c r="R24" s="28"/>
      <c r="S24" s="2"/>
      <c r="U24" s="2"/>
      <c r="V24" s="2"/>
      <c r="Y24" s="1"/>
      <c r="Z24" s="1"/>
      <c r="AL24" s="2"/>
      <c r="AM24" s="2"/>
    </row>
    <row r="25" spans="1:49" x14ac:dyDescent="0.3">
      <c r="B25" s="18"/>
      <c r="C25" s="18"/>
      <c r="D25" s="19"/>
      <c r="E25" s="20"/>
      <c r="F25" s="94"/>
      <c r="G25" s="94"/>
      <c r="H25" s="95"/>
      <c r="I25" s="96"/>
      <c r="J25" s="96"/>
      <c r="K25" s="96"/>
      <c r="L25" s="100"/>
      <c r="O25" s="89"/>
      <c r="P25" s="89"/>
      <c r="Q25" s="26"/>
      <c r="R25" s="28"/>
      <c r="S25" s="2"/>
      <c r="U25" s="2"/>
      <c r="V25" s="2"/>
      <c r="Y25" s="1"/>
      <c r="Z25" s="1"/>
      <c r="AL25" s="2"/>
      <c r="AM25" s="2"/>
    </row>
    <row r="26" spans="1:49" x14ac:dyDescent="0.3">
      <c r="B26" s="18"/>
      <c r="C26" s="18"/>
      <c r="D26" s="20" t="s">
        <v>32</v>
      </c>
      <c r="E26" s="20" t="s">
        <v>33</v>
      </c>
      <c r="F26" s="20" t="s">
        <v>34</v>
      </c>
      <c r="G26" s="20" t="s">
        <v>35</v>
      </c>
      <c r="H26" s="20" t="s">
        <v>36</v>
      </c>
      <c r="I26" s="20" t="s">
        <v>37</v>
      </c>
      <c r="J26" s="20" t="s">
        <v>38</v>
      </c>
      <c r="K26" s="20" t="s">
        <v>39</v>
      </c>
      <c r="L26" s="20" t="s">
        <v>40</v>
      </c>
      <c r="M26" s="20"/>
      <c r="N26" s="20"/>
      <c r="O26" s="20"/>
      <c r="Q26" s="20"/>
      <c r="Y26" s="1"/>
      <c r="Z26" s="1"/>
      <c r="AC26" s="2"/>
      <c r="AD26" s="29"/>
      <c r="AE26" s="29"/>
      <c r="AF26" s="2"/>
      <c r="AG26" s="2"/>
      <c r="AH26" s="2"/>
      <c r="AI26" s="2"/>
      <c r="AJ26" s="2"/>
      <c r="AP26" s="30"/>
    </row>
    <row r="27" spans="1:49" x14ac:dyDescent="0.3">
      <c r="D27" s="31" t="s">
        <v>41</v>
      </c>
      <c r="E27" s="20" t="s">
        <v>42</v>
      </c>
      <c r="F27" s="32" t="s">
        <v>43</v>
      </c>
      <c r="G27" s="20" t="s">
        <v>41</v>
      </c>
      <c r="H27" s="20" t="s">
        <v>44</v>
      </c>
      <c r="I27" s="32" t="s">
        <v>43</v>
      </c>
      <c r="J27" s="20" t="s">
        <v>45</v>
      </c>
      <c r="K27" s="20" t="s">
        <v>45</v>
      </c>
      <c r="L27" s="20" t="s">
        <v>45</v>
      </c>
      <c r="M27" s="20"/>
      <c r="N27" s="20"/>
      <c r="O27" s="9" t="s">
        <v>46</v>
      </c>
      <c r="P27" s="16"/>
      <c r="Q27" s="9"/>
      <c r="R27" s="9"/>
      <c r="S27" s="9" t="s">
        <v>47</v>
      </c>
      <c r="T27" s="16"/>
      <c r="U27" s="9"/>
      <c r="Y27" s="1"/>
      <c r="Z27" s="1"/>
      <c r="AC27" s="2"/>
      <c r="AD27" s="2"/>
      <c r="AE27" s="2"/>
      <c r="AF27" s="33"/>
      <c r="AG27" s="2"/>
      <c r="AH27" s="2"/>
      <c r="AI27" s="2"/>
      <c r="AJ27" s="2"/>
    </row>
    <row r="28" spans="1:49" x14ac:dyDescent="0.3">
      <c r="A28" s="1" t="s">
        <v>48</v>
      </c>
      <c r="B28" s="18" t="s">
        <v>49</v>
      </c>
      <c r="C28" s="18"/>
      <c r="D28" s="11">
        <f>T$30/(1+EXP((L28-T$33)/T$32))+T$31</f>
        <v>65.423570884094744</v>
      </c>
      <c r="E28" s="101">
        <f>E9</f>
        <v>7.6965000000000003</v>
      </c>
      <c r="F28" s="33">
        <f>D9</f>
        <v>14.229500000000002</v>
      </c>
      <c r="G28" s="2">
        <f>K28/J28*100</f>
        <v>76.311747700323949</v>
      </c>
      <c r="H28" s="102">
        <f>F28*(1.01+0.00189*E28)+2.5*E28</f>
        <v>33.820032785357505</v>
      </c>
      <c r="I28" s="2">
        <f>240.7263/(7.591386/LOG(K28/6.11644,10)-1)</f>
        <v>10.120571194240895</v>
      </c>
      <c r="J28" s="2">
        <f>6.116441*10^((F28*7.591386/(240.7263+F28)))</f>
        <v>16.225065320178967</v>
      </c>
      <c r="K28" s="2">
        <f>E28*1013/(621.9907+E28)</f>
        <v>12.381630911347731</v>
      </c>
      <c r="L28" s="2">
        <f>J28-K28</f>
        <v>3.8434344088312358</v>
      </c>
      <c r="M28" s="21"/>
      <c r="N28" s="2"/>
      <c r="O28" s="9" t="s">
        <v>50</v>
      </c>
      <c r="P28" s="16"/>
      <c r="Q28" s="9"/>
      <c r="R28" s="9"/>
      <c r="S28" s="9" t="s">
        <v>51</v>
      </c>
      <c r="T28" s="16"/>
      <c r="V28" s="2"/>
      <c r="W28" s="2"/>
      <c r="X28" s="2"/>
      <c r="Y28" s="1"/>
      <c r="Z28" s="1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49" x14ac:dyDescent="0.3">
      <c r="A29" s="1" t="s">
        <v>52</v>
      </c>
      <c r="D29" s="34">
        <f>H9</f>
        <v>-0.15</v>
      </c>
      <c r="F29" s="2"/>
      <c r="G29" s="2"/>
      <c r="I29" s="103"/>
      <c r="L29" s="2"/>
      <c r="M29" s="2"/>
      <c r="N29" s="2"/>
      <c r="O29" s="35" t="s">
        <v>53</v>
      </c>
      <c r="P29" s="25"/>
      <c r="Q29" s="36"/>
      <c r="R29" s="37"/>
      <c r="S29" s="35" t="s">
        <v>54</v>
      </c>
      <c r="T29" s="25"/>
      <c r="V29" s="2"/>
      <c r="W29" s="2"/>
      <c r="X29" s="2"/>
      <c r="Y29" s="1"/>
      <c r="Z29" s="1"/>
      <c r="AJ29" s="2"/>
    </row>
    <row r="30" spans="1:49" x14ac:dyDescent="0.3">
      <c r="A30" s="1" t="s">
        <v>55</v>
      </c>
      <c r="D30" s="34"/>
      <c r="E30" s="21"/>
      <c r="F30" s="2"/>
      <c r="H30" s="2"/>
      <c r="I30" s="103"/>
      <c r="O30" s="104" t="s">
        <v>56</v>
      </c>
      <c r="P30" s="3">
        <v>40</v>
      </c>
      <c r="Q30" s="38"/>
      <c r="R30" s="37"/>
      <c r="S30" s="104" t="s">
        <v>56</v>
      </c>
      <c r="T30" s="3">
        <v>100</v>
      </c>
      <c r="V30" s="2"/>
      <c r="W30" s="2"/>
      <c r="X30" s="2"/>
      <c r="Y30" s="1"/>
      <c r="Z30" s="1"/>
      <c r="AD30" s="120"/>
      <c r="AE30" s="120"/>
      <c r="AF30" s="120"/>
      <c r="AG30" s="120"/>
      <c r="AJ30" s="2"/>
    </row>
    <row r="31" spans="1:49" ht="30" customHeight="1" x14ac:dyDescent="0.3">
      <c r="A31" s="1" t="s">
        <v>57</v>
      </c>
      <c r="B31" s="18"/>
      <c r="C31" s="18"/>
      <c r="E31" s="21">
        <f>E28*(1+D29)</f>
        <v>6.5420249999999998</v>
      </c>
      <c r="F31" s="2">
        <f>(H31-2.5*E31)/(1.01+0.00189*E31)</f>
        <v>17.082920551466696</v>
      </c>
      <c r="G31" s="2">
        <f>K31/J31*100</f>
        <v>54.134676036496224</v>
      </c>
      <c r="H31" s="102">
        <f>H28</f>
        <v>33.820032785357505</v>
      </c>
      <c r="I31" s="2">
        <f>240.7263/(7.591386/LOG(K31/6.11644,10)-1)</f>
        <v>7.7405054537649942</v>
      </c>
      <c r="J31" s="2">
        <f>6.116441*10^(F31*7.591386/(F31+240.7263))</f>
        <v>19.47682706615694</v>
      </c>
      <c r="K31" s="2">
        <f>E31*1013/(621.9907+E31)</f>
        <v>10.54371723445267</v>
      </c>
      <c r="L31" s="2">
        <f>J31-K31</f>
        <v>8.9331098317042699</v>
      </c>
      <c r="M31" s="2"/>
      <c r="N31" s="2"/>
      <c r="O31" s="104" t="s">
        <v>58</v>
      </c>
      <c r="P31" s="3">
        <v>21</v>
      </c>
      <c r="S31" s="104" t="s">
        <v>58</v>
      </c>
      <c r="T31" s="3">
        <v>0</v>
      </c>
      <c r="W31" s="2"/>
      <c r="Y31" s="1"/>
      <c r="Z31" s="1"/>
      <c r="AA31" s="39"/>
      <c r="AB31" s="40"/>
      <c r="AL31" s="2"/>
      <c r="AM31" s="41"/>
    </row>
    <row r="32" spans="1:49" x14ac:dyDescent="0.3">
      <c r="A32" s="1" t="s">
        <v>59</v>
      </c>
      <c r="D32" s="42"/>
      <c r="I32" s="105"/>
      <c r="L32" s="21"/>
      <c r="O32" s="106" t="s">
        <v>60</v>
      </c>
      <c r="P32" s="115">
        <v>0.45</v>
      </c>
      <c r="S32" s="106" t="s">
        <v>60</v>
      </c>
      <c r="T32" s="115">
        <v>1.5</v>
      </c>
      <c r="W32" s="2"/>
      <c r="Y32" s="1"/>
      <c r="Z32" s="1"/>
      <c r="AA32" s="34"/>
      <c r="AB32" s="34"/>
      <c r="AJ32" s="2"/>
      <c r="AL32" s="41"/>
    </row>
    <row r="33" spans="1:48" x14ac:dyDescent="0.3">
      <c r="A33" s="107" t="s">
        <v>61</v>
      </c>
      <c r="D33" s="100">
        <f>O9</f>
        <v>-1.8032033732968054E-2</v>
      </c>
      <c r="E33" s="2">
        <f>E28*(1+D33)</f>
        <v>7.557716452374212</v>
      </c>
      <c r="F33" s="2">
        <f>(H33-2.5*E33)/(1.01+0.00189*E33)</f>
        <v>14.571876968692443</v>
      </c>
      <c r="G33" s="2"/>
      <c r="H33" s="2">
        <f>H31</f>
        <v>33.820032785357505</v>
      </c>
      <c r="I33" s="2" t="s">
        <v>62</v>
      </c>
      <c r="J33" s="2">
        <f>6.116441*10^(F33*7.591386/(F33+240.7263))</f>
        <v>16.588188361946738</v>
      </c>
      <c r="K33" s="2">
        <f>E33*1013/(621.9907+E33)</f>
        <v>12.161045228892664</v>
      </c>
      <c r="L33" s="2">
        <f>J33-K33</f>
        <v>4.4271431330540736</v>
      </c>
      <c r="M33" s="2"/>
      <c r="N33" s="2"/>
      <c r="O33" s="104" t="s">
        <v>63</v>
      </c>
      <c r="P33" s="115">
        <v>5.5</v>
      </c>
      <c r="S33" s="104" t="s">
        <v>63</v>
      </c>
      <c r="T33" s="115">
        <v>4.8</v>
      </c>
      <c r="W33" s="2"/>
      <c r="Y33" s="1"/>
      <c r="Z33" s="1"/>
      <c r="AA33" s="34"/>
      <c r="AB33" s="34"/>
      <c r="AK33" s="1"/>
      <c r="AL33" s="41"/>
    </row>
    <row r="34" spans="1:48" ht="14.25" customHeight="1" x14ac:dyDescent="0.3">
      <c r="A34" s="1" t="s">
        <v>64</v>
      </c>
      <c r="B34" s="18"/>
      <c r="C34" s="18"/>
      <c r="D34" s="2"/>
      <c r="H34" s="2"/>
      <c r="I34" s="103"/>
      <c r="R34" s="2"/>
      <c r="S34" s="2"/>
      <c r="T34" s="2"/>
      <c r="U34" s="2"/>
      <c r="V34" s="2"/>
      <c r="W34" s="2"/>
      <c r="X34" s="2"/>
      <c r="Y34" s="1"/>
      <c r="Z34" s="1"/>
      <c r="AA34" s="2"/>
      <c r="AB34" s="2"/>
      <c r="AK34" s="1"/>
      <c r="AL34" s="41"/>
    </row>
    <row r="35" spans="1:48" x14ac:dyDescent="0.3">
      <c r="A35" s="1" t="s">
        <v>65</v>
      </c>
      <c r="B35" s="18"/>
      <c r="C35" s="18"/>
      <c r="D35" s="2"/>
      <c r="E35" s="108">
        <f>-(L28-L33)*0.1</f>
        <v>5.8370872422283782E-2</v>
      </c>
      <c r="H35" s="2"/>
      <c r="I35" s="103"/>
      <c r="X35" s="2"/>
      <c r="Y35" s="2"/>
      <c r="Z35" s="2"/>
      <c r="AA35" s="2"/>
      <c r="AB35" s="2"/>
      <c r="AK35" s="1"/>
      <c r="AL35" s="41"/>
    </row>
    <row r="36" spans="1:48" x14ac:dyDescent="0.3">
      <c r="B36" s="18" t="s">
        <v>66</v>
      </c>
      <c r="C36" s="18"/>
      <c r="D36" s="11">
        <f>T$30/(1+EXP((L36-T$33)/T$32))+T$31</f>
        <v>16.08179166487518</v>
      </c>
      <c r="E36" s="109">
        <f>E33+E35</f>
        <v>7.6160873247964957</v>
      </c>
      <c r="F36" s="110">
        <f xml:space="preserve"> -( 2.501*E36 - H36) / 1.006+(0.00189*E36)</f>
        <v>17.127662985828316</v>
      </c>
      <c r="G36" s="2">
        <f>K36/J36*100</f>
        <v>62.737005877211516</v>
      </c>
      <c r="H36" s="2">
        <f>$P$30/(1+EXP(-$P$32*(L33-$P$33)))+$P$31</f>
        <v>36.263782591585191</v>
      </c>
      <c r="I36" s="2">
        <f>240.7263/(7.591386/LOG(K36/6.11644,10)-1)</f>
        <v>9.9655163754339036</v>
      </c>
      <c r="J36" s="2">
        <f>6.116441*10^(F36*7.591386/(F36+240.7263))</f>
        <v>19.532065453620454</v>
      </c>
      <c r="K36" s="2">
        <f>E36*1013/(621.9907+E36)</f>
        <v>12.253833051578665</v>
      </c>
      <c r="L36" s="2">
        <f>J36-K36</f>
        <v>7.2782324020417892</v>
      </c>
      <c r="M36" s="2"/>
      <c r="N36" s="2"/>
      <c r="O36" s="2"/>
      <c r="P36" s="2"/>
      <c r="Q36" s="2"/>
      <c r="X36" s="2"/>
      <c r="Y36" s="2"/>
      <c r="Z36" s="2"/>
      <c r="AA36" s="2"/>
      <c r="AB36" s="2"/>
      <c r="AK36" s="1"/>
      <c r="AL36" s="41"/>
    </row>
    <row r="37" spans="1:48" x14ac:dyDescent="0.3">
      <c r="B37" s="18"/>
      <c r="C37" s="18"/>
      <c r="D37" s="2"/>
      <c r="E37" s="108">
        <f>(L36-L$33)*0.1</f>
        <v>0.2851089268987716</v>
      </c>
      <c r="H37" s="2"/>
      <c r="I37" s="103"/>
      <c r="N37" s="2"/>
      <c r="Q37" s="2"/>
      <c r="X37" s="2"/>
      <c r="Y37" s="2"/>
      <c r="Z37" s="2"/>
      <c r="AA37" s="2"/>
      <c r="AB37" s="2"/>
      <c r="AK37" s="1"/>
      <c r="AL37" s="41"/>
    </row>
    <row r="38" spans="1:48" x14ac:dyDescent="0.3">
      <c r="B38" s="18" t="s">
        <v>66</v>
      </c>
      <c r="C38" s="18"/>
      <c r="D38" s="11">
        <f>T$30/(1+EXP((L38-T$33)/T$32))+T$31</f>
        <v>31.478165901470824</v>
      </c>
      <c r="E38" s="109">
        <f>E36+E37</f>
        <v>7.901196251695267</v>
      </c>
      <c r="F38" s="110">
        <f xml:space="preserve"> -( 2.501*E38 - H38) / 1.006+(0.00189*E38)</f>
        <v>16.419397243117821</v>
      </c>
      <c r="G38" s="2">
        <f>K38/J38*100</f>
        <v>68.046918097116205</v>
      </c>
      <c r="H38" s="2">
        <f>H36</f>
        <v>36.263782591585191</v>
      </c>
      <c r="I38" s="2">
        <f>240.7263/(7.591386/LOG(K38/6.11644,10)-1)</f>
        <v>10.508830494739554</v>
      </c>
      <c r="J38" s="2">
        <f>6.116441*10^(F38*7.591386/(F38+240.7263))</f>
        <v>18.67358973239422</v>
      </c>
      <c r="K38" s="2">
        <f>E38*1013/(621.9907+E38)</f>
        <v>12.706802310993796</v>
      </c>
      <c r="L38" s="2">
        <f>J38-K38</f>
        <v>5.966787421400424</v>
      </c>
      <c r="M38" s="2"/>
      <c r="N38" s="2"/>
      <c r="O38" s="2"/>
      <c r="P38" s="2"/>
      <c r="Q38" s="2"/>
      <c r="X38" s="2"/>
      <c r="Y38" s="2"/>
      <c r="Z38" s="2"/>
      <c r="AA38" s="2"/>
      <c r="AB38" s="2"/>
      <c r="AK38" s="1"/>
      <c r="AL38" s="41"/>
    </row>
    <row r="39" spans="1:48" x14ac:dyDescent="0.3">
      <c r="B39" s="18"/>
      <c r="C39" s="18"/>
      <c r="D39" s="2"/>
      <c r="E39" s="108">
        <f>(L38-L$33)*0.1</f>
        <v>0.15396442883463504</v>
      </c>
      <c r="H39" s="2"/>
      <c r="I39" s="103"/>
      <c r="N39" s="2"/>
      <c r="Q39" s="2"/>
      <c r="X39" s="2"/>
      <c r="Y39" s="2"/>
      <c r="Z39" s="2"/>
      <c r="AA39" s="2"/>
      <c r="AB39" s="2"/>
      <c r="AK39" s="1"/>
      <c r="AL39" s="41"/>
    </row>
    <row r="40" spans="1:48" x14ac:dyDescent="0.3">
      <c r="B40" s="18" t="s">
        <v>66</v>
      </c>
      <c r="C40" s="18"/>
      <c r="D40" s="11">
        <f>T$30/(1+EXP((L40-T$33)/T$32))+T$31</f>
        <v>42.186716386311574</v>
      </c>
      <c r="E40" s="109">
        <f t="shared" ref="E40:E74" si="0">E38+E39</f>
        <v>8.0551606805299016</v>
      </c>
      <c r="F40" s="110">
        <f xml:space="preserve"> -( 2.501*E40 - H40) / 1.006+(0.00189*E40)</f>
        <v>16.036919809928659</v>
      </c>
      <c r="G40" s="2">
        <f>K40/J40*100</f>
        <v>71.067303173155352</v>
      </c>
      <c r="H40" s="102">
        <f>H38</f>
        <v>36.263782591585191</v>
      </c>
      <c r="I40" s="2">
        <f>240.7263/(7.591386/LOG(K40/6.11644,10)-1)</f>
        <v>10.794977951459337</v>
      </c>
      <c r="J40" s="2">
        <f>6.116441*10^(F40*7.591386/(F40+240.7263))</f>
        <v>18.223913916683724</v>
      </c>
      <c r="K40" s="2">
        <f>E40*1013/(621.9907+E40)</f>
        <v>12.951244153184472</v>
      </c>
      <c r="L40" s="2">
        <f>J40-K40</f>
        <v>5.2726697634992519</v>
      </c>
      <c r="M40" s="2"/>
      <c r="N40" s="2"/>
      <c r="O40" s="2"/>
      <c r="P40" s="2"/>
      <c r="Q40" s="2"/>
      <c r="X40" s="2"/>
      <c r="Y40" s="2"/>
      <c r="Z40" s="2"/>
      <c r="AA40" s="2"/>
      <c r="AB40" s="2"/>
      <c r="AK40" s="1"/>
      <c r="AL40" s="41"/>
    </row>
    <row r="41" spans="1:48" x14ac:dyDescent="0.3">
      <c r="B41" s="18"/>
      <c r="C41" s="18"/>
      <c r="D41" s="2"/>
      <c r="E41" s="108">
        <f>(L40-L$33)*0.1</f>
        <v>8.4552663044517834E-2</v>
      </c>
      <c r="H41" s="2"/>
      <c r="I41" s="103"/>
      <c r="N41" s="2"/>
      <c r="Q41" s="2"/>
      <c r="X41" s="2"/>
      <c r="Y41" s="2"/>
      <c r="Z41" s="2"/>
      <c r="AA41" s="2"/>
      <c r="AB41" s="2"/>
      <c r="AK41" s="1"/>
      <c r="AL41" s="41"/>
    </row>
    <row r="42" spans="1:48" x14ac:dyDescent="0.3">
      <c r="B42" s="18" t="s">
        <v>66</v>
      </c>
      <c r="C42" s="18"/>
      <c r="D42" s="11">
        <f>T$30/(1+EXP((L42-T$33)/T$32))+T$31</f>
        <v>48.407221612699452</v>
      </c>
      <c r="E42" s="109">
        <f t="shared" si="0"/>
        <v>8.1397133435744191</v>
      </c>
      <c r="F42" s="110">
        <f xml:space="preserve"> -( 2.501*E42 - H42) / 1.006+(0.00189*E42)</f>
        <v>15.826874634069821</v>
      </c>
      <c r="G42" s="2">
        <f>K42/J42*100</f>
        <v>72.773537686618482</v>
      </c>
      <c r="H42" s="102">
        <f>H40</f>
        <v>36.263782591585191</v>
      </c>
      <c r="I42" s="2">
        <f>240.7263/(7.591386/LOG(K42/6.11644,10)-1)</f>
        <v>10.950046286938868</v>
      </c>
      <c r="J42" s="2">
        <f>6.116441*10^(F42*7.591386/(F42+240.7263))</f>
        <v>17.981032544328393</v>
      </c>
      <c r="K42" s="2">
        <f>E42*1013/(621.9907+E42)</f>
        <v>13.085433495089957</v>
      </c>
      <c r="L42" s="2">
        <f>J42-K42</f>
        <v>4.8955990492384363</v>
      </c>
      <c r="M42" s="2"/>
      <c r="N42" s="2"/>
      <c r="O42" s="2"/>
      <c r="P42" s="2"/>
      <c r="Q42" s="2"/>
      <c r="X42" s="2"/>
      <c r="Y42" s="2"/>
      <c r="Z42" s="2"/>
      <c r="AA42" s="2"/>
      <c r="AB42" s="2"/>
      <c r="AK42" s="1"/>
      <c r="AL42" s="41"/>
    </row>
    <row r="43" spans="1:48" x14ac:dyDescent="0.3">
      <c r="B43" s="18"/>
      <c r="C43" s="18"/>
      <c r="D43" s="2"/>
      <c r="E43" s="108">
        <f>(L42-L$33)*0.1</f>
        <v>4.6845591618436266E-2</v>
      </c>
      <c r="H43" s="2"/>
      <c r="I43" s="103"/>
      <c r="N43" s="2"/>
      <c r="Q43" s="2"/>
      <c r="X43" s="28"/>
      <c r="Y43" s="1"/>
      <c r="Z43" s="1"/>
      <c r="AI43" s="2"/>
      <c r="AJ43" s="2"/>
      <c r="AL43" s="2"/>
      <c r="AV43" s="41"/>
    </row>
    <row r="44" spans="1:48" x14ac:dyDescent="0.3">
      <c r="B44" s="18" t="s">
        <v>66</v>
      </c>
      <c r="C44" s="18"/>
      <c r="D44" s="11">
        <f>T$30/(1+EXP((L44-T$33)/T$32))+T$31</f>
        <v>51.866972007982909</v>
      </c>
      <c r="E44" s="109">
        <f t="shared" si="0"/>
        <v>8.1865589351928563</v>
      </c>
      <c r="F44" s="110">
        <f xml:space="preserve"> -( 2.501*E44 - H44) / 1.006+(0.00189*E44)</f>
        <v>15.710501119914211</v>
      </c>
      <c r="G44" s="2">
        <f>K44/J44*100</f>
        <v>73.733695760044</v>
      </c>
      <c r="H44" s="102">
        <f t="shared" ref="H44:H74" si="1">H42</f>
        <v>36.263782591585191</v>
      </c>
      <c r="I44" s="2">
        <f>240.7263/(7.591386/LOG(K44/6.11644,10)-1)</f>
        <v>11.035340950387257</v>
      </c>
      <c r="J44" s="2">
        <f>6.116441*10^(F44*7.591386/(F44+240.7263))</f>
        <v>17.847693886401217</v>
      </c>
      <c r="K44" s="2">
        <f>E44*1013/(621.9907+E44)</f>
        <v>13.159764310383045</v>
      </c>
      <c r="L44" s="2">
        <f>J44-K44</f>
        <v>4.6879295760181723</v>
      </c>
      <c r="M44" s="2"/>
      <c r="N44" s="2"/>
      <c r="O44" s="2"/>
      <c r="P44" s="2"/>
      <c r="Q44" s="2"/>
      <c r="R44" s="43"/>
      <c r="X44" s="28"/>
      <c r="Y44" s="1"/>
      <c r="Z44" s="1"/>
      <c r="AA44" s="2"/>
      <c r="AD44" s="44"/>
      <c r="AE44" s="44"/>
      <c r="AF44" s="44"/>
      <c r="AG44" s="44"/>
      <c r="AH44" s="44"/>
      <c r="AI44" s="2"/>
      <c r="AJ44" s="2"/>
      <c r="AL44" s="2"/>
      <c r="AV44" s="41"/>
    </row>
    <row r="45" spans="1:48" x14ac:dyDescent="0.3">
      <c r="B45" s="18"/>
      <c r="C45" s="18"/>
      <c r="D45" s="2"/>
      <c r="E45" s="108">
        <f>(L44-L$33)*0.1</f>
        <v>2.607864429640987E-2</v>
      </c>
      <c r="H45" s="2"/>
      <c r="I45" s="103"/>
      <c r="N45" s="2"/>
      <c r="Q45" s="2"/>
      <c r="X45" s="28"/>
      <c r="Y45" s="1"/>
      <c r="Z45" s="1"/>
      <c r="AC45" s="42"/>
      <c r="AD45" s="2"/>
      <c r="AE45" s="2"/>
      <c r="AF45" s="2"/>
      <c r="AG45" s="2"/>
      <c r="AH45" s="2"/>
      <c r="AI45" s="2"/>
      <c r="AJ45" s="2"/>
      <c r="AL45" s="2"/>
      <c r="AV45" s="35"/>
    </row>
    <row r="46" spans="1:48" x14ac:dyDescent="0.3">
      <c r="B46" s="18" t="s">
        <v>66</v>
      </c>
      <c r="C46" s="18"/>
      <c r="D46" s="11">
        <f>T$30/(1+EXP((L46-T$33)/T$32))+T$31</f>
        <v>53.781051961504197</v>
      </c>
      <c r="E46" s="109">
        <f t="shared" si="0"/>
        <v>8.2126375794892663</v>
      </c>
      <c r="F46" s="110">
        <f xml:space="preserve"> -( 2.501*E46 - H46) / 1.006+(0.00189*E46)</f>
        <v>15.645716721290183</v>
      </c>
      <c r="G46" s="2">
        <f>K46/J46*100</f>
        <v>74.272850186648583</v>
      </c>
      <c r="H46" s="102">
        <f t="shared" si="1"/>
        <v>36.263782591585191</v>
      </c>
      <c r="I46" s="2">
        <f>240.7263/(7.591386/LOG(K46/6.11644,10)-1)</f>
        <v>11.082634877531953</v>
      </c>
      <c r="J46" s="2">
        <f>6.116441*10^(F46*7.591386/(F46+240.7263))</f>
        <v>17.773841966860495</v>
      </c>
      <c r="K46" s="2">
        <f>E46*1013/(621.9907+E46)</f>
        <v>13.201139016457967</v>
      </c>
      <c r="L46" s="2">
        <f>J46-K46</f>
        <v>4.5727029504025278</v>
      </c>
      <c r="M46" s="2"/>
      <c r="N46" s="2"/>
      <c r="O46" s="2"/>
      <c r="P46" s="2"/>
      <c r="Q46" s="2"/>
      <c r="X46" s="28"/>
      <c r="Y46" s="2"/>
      <c r="Z46" s="2"/>
      <c r="AA46" s="2"/>
      <c r="AC46" s="42"/>
      <c r="AD46" s="2"/>
      <c r="AE46" s="2"/>
      <c r="AF46" s="2"/>
      <c r="AG46" s="2"/>
      <c r="AH46" s="2"/>
      <c r="AI46" s="2"/>
      <c r="AL46" s="2"/>
      <c r="AV46" s="35"/>
    </row>
    <row r="47" spans="1:48" x14ac:dyDescent="0.3">
      <c r="B47" s="18"/>
      <c r="C47" s="18"/>
      <c r="D47" s="2"/>
      <c r="E47" s="108">
        <f>(L46-L$33)*0.1</f>
        <v>1.4555981734845425E-2</v>
      </c>
      <c r="H47" s="2"/>
      <c r="I47" s="103"/>
      <c r="N47" s="2"/>
      <c r="Q47" s="2"/>
      <c r="X47" s="28"/>
      <c r="Y47" s="1"/>
      <c r="Z47" s="1"/>
      <c r="AC47" s="42"/>
      <c r="AD47" s="2"/>
      <c r="AE47" s="2"/>
      <c r="AF47" s="2"/>
      <c r="AG47" s="2"/>
      <c r="AH47" s="2"/>
      <c r="AI47" s="2"/>
      <c r="AJ47" s="45"/>
      <c r="AL47" s="2"/>
      <c r="AV47" s="35"/>
    </row>
    <row r="48" spans="1:48" x14ac:dyDescent="0.3">
      <c r="B48" s="18" t="s">
        <v>66</v>
      </c>
      <c r="C48" s="18"/>
      <c r="D48" s="11">
        <f>T$30/(1+EXP((L48-T$33)/T$32))+T$31</f>
        <v>54.84299080520875</v>
      </c>
      <c r="E48" s="109">
        <f t="shared" si="0"/>
        <v>8.2271935612241123</v>
      </c>
      <c r="F48" s="110">
        <f xml:space="preserve"> -( 2.501*E48 - H48) / 1.006+(0.00189*E48)</f>
        <v>15.609556846092829</v>
      </c>
      <c r="G48" s="2">
        <f>K48/J48*100</f>
        <v>74.575236310860092</v>
      </c>
      <c r="H48" s="102">
        <f t="shared" si="1"/>
        <v>36.263782591585191</v>
      </c>
      <c r="I48" s="2">
        <f>240.7263/(7.591386/LOG(K48/6.11644,10)-1)</f>
        <v>11.108973910719037</v>
      </c>
      <c r="J48" s="2">
        <f>6.116441*10^(F48*7.591386/(F48+240.7263))</f>
        <v>17.732737795540146</v>
      </c>
      <c r="K48" s="2">
        <f>E48*1013/(621.9907+E48)</f>
        <v>13.224231115409268</v>
      </c>
      <c r="L48" s="2">
        <f>J48-K48</f>
        <v>4.5085066801308784</v>
      </c>
      <c r="M48" s="2"/>
      <c r="N48" s="2"/>
      <c r="O48" s="2"/>
      <c r="P48" s="2"/>
      <c r="Q48" s="2"/>
      <c r="X48" s="28"/>
      <c r="Y48" s="1"/>
      <c r="Z48" s="1"/>
      <c r="AC48" s="42"/>
      <c r="AD48" s="2"/>
      <c r="AE48" s="2"/>
      <c r="AF48" s="2"/>
      <c r="AG48" s="2"/>
      <c r="AH48" s="2"/>
      <c r="AI48" s="2"/>
      <c r="AJ48" s="45"/>
      <c r="AL48" s="2"/>
      <c r="AV48" s="35"/>
    </row>
    <row r="49" spans="2:49" x14ac:dyDescent="0.3">
      <c r="B49" s="18"/>
      <c r="C49" s="18"/>
      <c r="D49" s="2"/>
      <c r="E49" s="108">
        <f>(L48-L$33)*0.1</f>
        <v>8.1363547076804821E-3</v>
      </c>
      <c r="H49" s="2"/>
      <c r="I49" s="103"/>
      <c r="N49" s="2"/>
      <c r="Q49" s="2"/>
      <c r="X49" s="28"/>
      <c r="Y49" s="18"/>
      <c r="Z49" s="18"/>
      <c r="AC49" s="42"/>
      <c r="AD49" s="2"/>
      <c r="AE49" s="2"/>
      <c r="AF49" s="2"/>
      <c r="AG49" s="2"/>
      <c r="AH49" s="2"/>
      <c r="AI49" s="2"/>
      <c r="AJ49" s="46"/>
      <c r="AL49" s="2"/>
      <c r="AV49" s="35"/>
    </row>
    <row r="50" spans="2:49" x14ac:dyDescent="0.3">
      <c r="B50" s="18" t="s">
        <v>66</v>
      </c>
      <c r="C50" s="18"/>
      <c r="D50" s="11">
        <f>T$30/(1+EXP((L50-T$33)/T$32))+T$31</f>
        <v>55.434122065404672</v>
      </c>
      <c r="E50" s="109">
        <f t="shared" si="0"/>
        <v>8.2353299159317928</v>
      </c>
      <c r="F50" s="110">
        <f xml:space="preserve"> -( 2.501*E50 - H50) / 1.006+(0.00189*E50)</f>
        <v>15.589344566622403</v>
      </c>
      <c r="G50" s="2">
        <f>K50/J50*100</f>
        <v>74.744716409669039</v>
      </c>
      <c r="H50" s="102">
        <f t="shared" si="1"/>
        <v>36.263782591585191</v>
      </c>
      <c r="I50" s="2">
        <f>240.7263/(7.591386/LOG(K50/6.11644,10)-1)</f>
        <v>11.123678470600108</v>
      </c>
      <c r="J50" s="2">
        <f>6.116441*10^(F50*7.591386/(F50+240.7263))</f>
        <v>17.709798194738674</v>
      </c>
      <c r="K50" s="2">
        <f>E50*1013/(621.9907+E50)</f>
        <v>13.237138437382109</v>
      </c>
      <c r="L50" s="2">
        <f>J50-K50</f>
        <v>4.4726597573565652</v>
      </c>
      <c r="M50" s="2"/>
      <c r="N50" s="2"/>
      <c r="O50" s="2"/>
      <c r="P50" s="2"/>
      <c r="Q50" s="2"/>
      <c r="X50" s="28"/>
      <c r="Y50" s="18"/>
      <c r="Z50" s="18"/>
      <c r="AC50" s="42"/>
      <c r="AD50" s="2"/>
      <c r="AE50" s="2"/>
      <c r="AF50" s="2"/>
      <c r="AG50" s="2"/>
      <c r="AH50" s="2"/>
      <c r="AI50" s="2"/>
      <c r="AJ50" s="46"/>
      <c r="AL50" s="2"/>
      <c r="AV50" s="35"/>
    </row>
    <row r="51" spans="2:49" x14ac:dyDescent="0.3">
      <c r="B51" s="18"/>
      <c r="C51" s="18"/>
      <c r="D51" s="2"/>
      <c r="E51" s="108">
        <f>(L50-L$33)*0.1</f>
        <v>4.5516624302491598E-3</v>
      </c>
      <c r="H51" s="2"/>
      <c r="I51" s="103"/>
      <c r="N51" s="2"/>
      <c r="Q51" s="2"/>
      <c r="W51" s="28"/>
      <c r="X51" s="28"/>
      <c r="Y51" s="18"/>
      <c r="Z51" s="18"/>
      <c r="AA51" s="20"/>
      <c r="AB51" s="20"/>
      <c r="AC51" s="20"/>
      <c r="AD51" s="20"/>
      <c r="AE51" s="20"/>
      <c r="AG51" s="2"/>
      <c r="AH51" s="2"/>
      <c r="AI51" s="2"/>
      <c r="AJ51" s="46"/>
      <c r="AL51" s="2"/>
      <c r="AV51" s="35"/>
    </row>
    <row r="52" spans="2:49" x14ac:dyDescent="0.3">
      <c r="B52" s="18" t="s">
        <v>66</v>
      </c>
      <c r="C52" s="18"/>
      <c r="D52" s="11">
        <f>T$30/(1+EXP((L52-T$33)/T$32))+T$31</f>
        <v>55.763966601254431</v>
      </c>
      <c r="E52" s="109">
        <f t="shared" si="0"/>
        <v>8.2398815783620414</v>
      </c>
      <c r="F52" s="110">
        <f xml:space="preserve"> -( 2.501*E52 - H52) / 1.006+(0.00189*E52)</f>
        <v>15.578037356403508</v>
      </c>
      <c r="G52" s="2">
        <f>K52/J52*100</f>
        <v>74.839670186744897</v>
      </c>
      <c r="H52" s="102">
        <f t="shared" si="1"/>
        <v>36.263782591585191</v>
      </c>
      <c r="I52" s="2">
        <f>240.7263/(7.591386/LOG(K52/6.11644,10)-1)</f>
        <v>11.131898866756339</v>
      </c>
      <c r="J52" s="2">
        <f>6.116441*10^(F52*7.591386/(F52+240.7263))</f>
        <v>17.696976629265116</v>
      </c>
      <c r="K52" s="2">
        <f>E52*1013/(621.9907+E52)</f>
        <v>13.244358942367338</v>
      </c>
      <c r="L52" s="2">
        <f>J52-K52</f>
        <v>4.4526176868977778</v>
      </c>
      <c r="M52" s="2"/>
      <c r="N52" s="2"/>
      <c r="O52" s="2"/>
      <c r="P52" s="2"/>
      <c r="Q52" s="2"/>
      <c r="Y52" s="2"/>
      <c r="Z52" s="2"/>
      <c r="AA52" s="20"/>
      <c r="AB52" s="20"/>
      <c r="AC52" s="32"/>
      <c r="AD52" s="20"/>
      <c r="AE52" s="20"/>
      <c r="AF52" s="2"/>
      <c r="AG52" s="2"/>
      <c r="AH52" s="2"/>
      <c r="AI52" s="2"/>
      <c r="AL52" s="2"/>
      <c r="AV52" s="35"/>
    </row>
    <row r="53" spans="2:49" x14ac:dyDescent="0.3">
      <c r="B53" s="18"/>
      <c r="C53" s="18"/>
      <c r="D53" s="2"/>
      <c r="E53" s="108">
        <f>(L52-L$33)*0.1</f>
        <v>2.5474553843704232E-3</v>
      </c>
      <c r="H53" s="2"/>
      <c r="I53" s="103"/>
      <c r="N53" s="2"/>
      <c r="Q53" s="2"/>
      <c r="R53" s="2"/>
      <c r="S53" s="2"/>
      <c r="T53" s="2"/>
      <c r="V53" s="2"/>
      <c r="W53" s="47"/>
      <c r="X53" s="47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46"/>
      <c r="AL53" s="2"/>
      <c r="AV53" s="35"/>
    </row>
    <row r="54" spans="2:49" x14ac:dyDescent="0.3">
      <c r="B54" s="18" t="s">
        <v>66</v>
      </c>
      <c r="C54" s="18"/>
      <c r="D54" s="11">
        <f>T$30/(1+EXP((L54-T$33)/T$32))+T$31</f>
        <v>55.948293631726237</v>
      </c>
      <c r="E54" s="109">
        <f t="shared" si="0"/>
        <v>8.2424290337464114</v>
      </c>
      <c r="F54" s="110">
        <f xml:space="preserve"> -( 2.501*E54 - H54) / 1.006+(0.00189*E54)</f>
        <v>15.571708984298647</v>
      </c>
      <c r="G54" s="2">
        <f>K54/J54*100</f>
        <v>74.892858272653768</v>
      </c>
      <c r="H54" s="102">
        <f t="shared" si="1"/>
        <v>36.263782591585191</v>
      </c>
      <c r="I54" s="2">
        <f>240.7263/(7.591386/LOG(K54/6.11644,10)-1)</f>
        <v>11.136497850181888</v>
      </c>
      <c r="J54" s="2">
        <f>6.116441*10^(F54*7.591386/(F54+240.7263))</f>
        <v>17.689804267629562</v>
      </c>
      <c r="K54" s="2">
        <f>E54*1013/(621.9907+E54)</f>
        <v>13.248400038865665</v>
      </c>
      <c r="L54" s="2">
        <f>J54-K54</f>
        <v>4.4414042287638971</v>
      </c>
      <c r="M54" s="2"/>
      <c r="N54" s="2"/>
      <c r="O54" s="2"/>
      <c r="P54" s="2"/>
      <c r="Q54" s="2"/>
      <c r="R54" s="2"/>
      <c r="S54" s="2"/>
      <c r="T54" s="2"/>
      <c r="V54" s="2"/>
      <c r="W54" s="47"/>
      <c r="X54" s="47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46"/>
      <c r="AL54" s="2"/>
      <c r="AV54" s="35"/>
    </row>
    <row r="55" spans="2:49" x14ac:dyDescent="0.3">
      <c r="B55" s="18"/>
      <c r="C55" s="18"/>
      <c r="D55" s="2"/>
      <c r="E55" s="108">
        <f>(L54-L$33)*0.1</f>
        <v>1.426109570982348E-3</v>
      </c>
      <c r="H55" s="2"/>
      <c r="I55" s="103"/>
      <c r="N55" s="2"/>
      <c r="Q55" s="2"/>
      <c r="R55" s="2"/>
      <c r="S55" s="2"/>
      <c r="T55" s="2"/>
      <c r="V55" s="2"/>
      <c r="W55" s="47"/>
      <c r="X55" s="47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K55" s="1"/>
      <c r="AV55" s="35"/>
    </row>
    <row r="56" spans="2:49" x14ac:dyDescent="0.3">
      <c r="B56" s="18" t="s">
        <v>66</v>
      </c>
      <c r="C56" s="18"/>
      <c r="D56" s="11">
        <f>T$30/(1+EXP((L56-T$33)/T$32))+T$31</f>
        <v>56.051393325503589</v>
      </c>
      <c r="E56" s="109">
        <f t="shared" si="0"/>
        <v>8.2438551433173934</v>
      </c>
      <c r="F56" s="110">
        <f xml:space="preserve"> -( 2.501*E56 - H56) / 1.006+(0.00189*E56)</f>
        <v>15.568166252173542</v>
      </c>
      <c r="G56" s="2">
        <f>K56/J56*100</f>
        <v>74.922647915397505</v>
      </c>
      <c r="H56" s="102">
        <f t="shared" si="1"/>
        <v>36.263782591585191</v>
      </c>
      <c r="I56" s="2">
        <f>240.7263/(7.591386/LOG(K56/6.11644,10)-1)</f>
        <v>11.139071885266979</v>
      </c>
      <c r="J56" s="2">
        <f>6.116441*10^(F56*7.591386/(F56+240.7263))</f>
        <v>17.685790170226309</v>
      </c>
      <c r="K56" s="2">
        <f>E56*1013/(621.9907+E56)</f>
        <v>13.250662300294639</v>
      </c>
      <c r="L56" s="2">
        <f>J56-K56</f>
        <v>4.4351278699316694</v>
      </c>
      <c r="M56" s="2"/>
      <c r="N56" s="2"/>
      <c r="O56" s="2"/>
      <c r="P56" s="2"/>
      <c r="Q56" s="2"/>
      <c r="R56" s="2"/>
      <c r="S56" s="2"/>
      <c r="T56" s="2"/>
      <c r="V56" s="2"/>
      <c r="W56" s="28"/>
      <c r="X56" s="28"/>
      <c r="Y56" s="2"/>
      <c r="Z56" s="2"/>
      <c r="AA56" s="2"/>
      <c r="AC56" s="42"/>
      <c r="AD56" s="2"/>
      <c r="AE56" s="2"/>
      <c r="AF56" s="2"/>
      <c r="AG56" s="2"/>
      <c r="AH56" s="2"/>
      <c r="AI56" s="2"/>
      <c r="AJ56" s="2"/>
      <c r="AK56" s="45"/>
      <c r="AL56" s="2"/>
      <c r="AV56" s="35"/>
    </row>
    <row r="57" spans="2:49" x14ac:dyDescent="0.3">
      <c r="B57" s="18"/>
      <c r="C57" s="18"/>
      <c r="D57" s="2"/>
      <c r="E57" s="108">
        <f>(L56-L$33)*0.1</f>
        <v>7.9847368775958221E-4</v>
      </c>
      <c r="H57" s="2"/>
      <c r="I57" s="103"/>
      <c r="N57" s="2"/>
      <c r="Q57" s="2"/>
      <c r="R57" s="2"/>
      <c r="S57" s="2"/>
      <c r="T57" s="2"/>
      <c r="V57" s="2"/>
      <c r="W57" s="28"/>
      <c r="X57" s="28"/>
      <c r="Y57" s="2"/>
      <c r="Z57" s="2"/>
      <c r="AA57" s="2"/>
      <c r="AC57" s="42"/>
      <c r="AD57" s="2"/>
      <c r="AE57" s="2"/>
      <c r="AF57" s="2"/>
      <c r="AG57" s="2"/>
      <c r="AH57" s="2"/>
      <c r="AI57" s="2"/>
      <c r="AK57" s="46"/>
      <c r="AV57" s="35"/>
    </row>
    <row r="58" spans="2:49" x14ac:dyDescent="0.3">
      <c r="B58" s="18" t="s">
        <v>66</v>
      </c>
      <c r="C58" s="18"/>
      <c r="D58" s="11">
        <f>T$30/(1+EXP((L58-T$33)/T$32))+T$31</f>
        <v>56.109089930699426</v>
      </c>
      <c r="E58" s="109">
        <f t="shared" si="0"/>
        <v>8.2446536170051523</v>
      </c>
      <c r="F58" s="110">
        <f xml:space="preserve"> -( 2.501*E58 - H58) / 1.006+(0.00189*E58)</f>
        <v>15.566182689029286</v>
      </c>
      <c r="G58" s="2">
        <f>K58/J58*100</f>
        <v>74.939331430901703</v>
      </c>
      <c r="H58" s="102">
        <f t="shared" si="1"/>
        <v>36.263782591585191</v>
      </c>
      <c r="I58" s="2">
        <f>240.7263/(7.591386/LOG(K58/6.11644,10)-1)</f>
        <v>11.140512904360419</v>
      </c>
      <c r="J58" s="2">
        <f>6.116441*10^(F58*7.591386/(F58+240.7263))</f>
        <v>17.683543040664084</v>
      </c>
      <c r="K58" s="2">
        <f>E58*1013/(621.9907+E58)</f>
        <v>13.251928927969409</v>
      </c>
      <c r="L58" s="2">
        <f>J58-K58</f>
        <v>4.4316141126946746</v>
      </c>
      <c r="M58" s="2"/>
      <c r="N58" s="2"/>
      <c r="O58" s="2"/>
      <c r="P58" s="2"/>
      <c r="Q58" s="2"/>
      <c r="R58" s="2"/>
      <c r="S58" s="2"/>
      <c r="T58" s="2"/>
      <c r="V58" s="2"/>
      <c r="W58" s="28"/>
      <c r="X58" s="28"/>
      <c r="Y58" s="2"/>
      <c r="Z58" s="2"/>
      <c r="AA58" s="2"/>
      <c r="AD58" s="2"/>
      <c r="AE58" s="2"/>
      <c r="AF58" s="2"/>
      <c r="AG58" s="2"/>
      <c r="AH58" s="2"/>
      <c r="AI58" s="2"/>
      <c r="AK58" s="46"/>
      <c r="AV58" s="35"/>
    </row>
    <row r="59" spans="2:49" x14ac:dyDescent="0.3">
      <c r="B59" s="18"/>
      <c r="C59" s="18"/>
      <c r="D59" s="2"/>
      <c r="E59" s="108">
        <f>(L58-L$33)*0.1</f>
        <v>4.4709796406010587E-4</v>
      </c>
      <c r="H59" s="2"/>
      <c r="I59" s="103"/>
      <c r="N59" s="2"/>
      <c r="Q59" s="2"/>
      <c r="R59" s="2"/>
      <c r="S59" s="2"/>
      <c r="T59" s="2"/>
      <c r="V59" s="2"/>
      <c r="W59" s="28"/>
      <c r="X59" s="28"/>
      <c r="Y59" s="2"/>
      <c r="Z59" s="2"/>
      <c r="AA59" s="2"/>
      <c r="AI59" s="2"/>
      <c r="AK59" s="1"/>
      <c r="AV59" s="35"/>
    </row>
    <row r="60" spans="2:49" x14ac:dyDescent="0.3">
      <c r="B60" s="18" t="s">
        <v>66</v>
      </c>
      <c r="C60" s="18"/>
      <c r="D60" s="11">
        <f>T$30/(1+EXP((L60-T$33)/T$32))+T$31</f>
        <v>56.141387589763355</v>
      </c>
      <c r="E60" s="109">
        <f t="shared" si="0"/>
        <v>8.2451007149692117</v>
      </c>
      <c r="F60" s="110">
        <f xml:space="preserve"> -( 2.501*E60 - H60) / 1.006+(0.00189*E60)</f>
        <v>15.56507201117355</v>
      </c>
      <c r="G60" s="2">
        <f>K60/J60*100</f>
        <v>74.948674591109722</v>
      </c>
      <c r="H60" s="102">
        <f t="shared" si="1"/>
        <v>36.263782591585191</v>
      </c>
      <c r="I60" s="2">
        <f>240.7263/(7.591386/LOG(K60/6.11644,10)-1)</f>
        <v>11.141319735141712</v>
      </c>
      <c r="J60" s="2">
        <f>6.116441*10^(F60*7.591386/(F60+240.7263))</f>
        <v>17.682284890736863</v>
      </c>
      <c r="K60" s="2">
        <f>E60*1013/(621.9907+E60)</f>
        <v>13.252638163031333</v>
      </c>
      <c r="L60" s="2">
        <f>J60-K60</f>
        <v>4.4296467277055296</v>
      </c>
      <c r="M60" s="2"/>
      <c r="N60" s="2"/>
      <c r="O60" s="2"/>
      <c r="P60" s="2"/>
      <c r="Q60" s="2"/>
      <c r="R60" s="2"/>
      <c r="S60" s="2"/>
      <c r="T60" s="2"/>
      <c r="V60" s="2"/>
      <c r="W60" s="28"/>
      <c r="X60" s="28"/>
      <c r="Y60" s="2"/>
      <c r="Z60" s="2"/>
      <c r="AA60" s="2"/>
      <c r="AI60" s="2"/>
      <c r="AK60" s="1"/>
      <c r="AV60" s="35"/>
    </row>
    <row r="61" spans="2:49" x14ac:dyDescent="0.3">
      <c r="B61" s="18"/>
      <c r="C61" s="18"/>
      <c r="D61" s="2"/>
      <c r="E61" s="108">
        <f>(L60-L$33)*0.1</f>
        <v>2.5035946514559985E-4</v>
      </c>
      <c r="H61" s="2"/>
      <c r="I61" s="103"/>
      <c r="N61" s="2"/>
      <c r="Q61" s="2"/>
      <c r="R61" s="2"/>
      <c r="S61" s="2"/>
      <c r="T61" s="2"/>
      <c r="V61" s="2"/>
      <c r="W61" s="28"/>
      <c r="X61" s="28"/>
      <c r="Y61" s="2"/>
      <c r="Z61" s="2"/>
      <c r="AA61" s="2"/>
      <c r="AD61" s="2"/>
      <c r="AE61" s="2"/>
      <c r="AF61" s="2"/>
      <c r="AG61" s="2"/>
      <c r="AH61" s="2"/>
      <c r="AI61" s="2"/>
      <c r="AJ61" s="2"/>
      <c r="AL61" s="2"/>
      <c r="AV61" s="35"/>
    </row>
    <row r="62" spans="2:49" x14ac:dyDescent="0.3">
      <c r="B62" s="18" t="s">
        <v>66</v>
      </c>
      <c r="C62" s="18"/>
      <c r="D62" s="11">
        <f>T$30/(1+EXP((L62-T$33)/T$32))+T$31</f>
        <v>56.15947032531129</v>
      </c>
      <c r="E62" s="109">
        <f t="shared" si="0"/>
        <v>8.2453510744343568</v>
      </c>
      <c r="F62" s="110">
        <f xml:space="preserve"> -( 2.501*E62 - H62) / 1.006+(0.00189*E62)</f>
        <v>15.564450069817823</v>
      </c>
      <c r="G62" s="2">
        <f>K62/J62*100</f>
        <v>74.953906871822667</v>
      </c>
      <c r="H62" s="102">
        <f t="shared" si="1"/>
        <v>36.263782591585191</v>
      </c>
      <c r="I62" s="2">
        <f>240.7263/(7.591386/LOG(K62/6.11644,10)-1)</f>
        <v>11.141771515496922</v>
      </c>
      <c r="J62" s="2">
        <f>6.116441*10^(F62*7.591386/(F62+240.7263))</f>
        <v>17.68158040443376</v>
      </c>
      <c r="K62" s="2">
        <f>E62*1013/(621.9907+E62)</f>
        <v>13.253035309805727</v>
      </c>
      <c r="L62" s="2">
        <f>J62-K62</f>
        <v>4.4285450946280331</v>
      </c>
      <c r="M62" s="2"/>
      <c r="N62" s="2"/>
      <c r="O62" s="2"/>
      <c r="P62" s="2"/>
      <c r="Q62" s="2"/>
      <c r="R62" s="2"/>
      <c r="S62" s="2"/>
      <c r="T62" s="2"/>
      <c r="V62" s="2"/>
      <c r="W62" s="28"/>
      <c r="X62" s="28"/>
      <c r="Y62" s="2"/>
      <c r="Z62" s="2"/>
      <c r="AA62" s="2"/>
      <c r="AI62" s="2"/>
      <c r="AK62" s="1"/>
      <c r="AV62" s="35"/>
    </row>
    <row r="63" spans="2:49" x14ac:dyDescent="0.3">
      <c r="B63" s="18"/>
      <c r="C63" s="18"/>
      <c r="D63" s="2"/>
      <c r="E63" s="108">
        <f>(L62-L$33)*0.1</f>
        <v>1.4019615739595538E-4</v>
      </c>
      <c r="H63" s="2"/>
      <c r="I63" s="103"/>
      <c r="N63" s="2"/>
      <c r="Q63" s="2"/>
      <c r="R63" s="2"/>
      <c r="S63" s="2"/>
      <c r="T63" s="2"/>
      <c r="V63" s="2"/>
      <c r="W63" s="28"/>
      <c r="X63" s="28"/>
      <c r="Y63" s="2"/>
      <c r="Z63" s="2"/>
      <c r="AA63" s="2"/>
      <c r="AI63" s="2"/>
      <c r="AJ63" s="48"/>
      <c r="AK63" s="48"/>
      <c r="AL63" s="42"/>
      <c r="AN63" s="2"/>
      <c r="AO63" s="2"/>
      <c r="AP63" s="2"/>
      <c r="AQ63" s="2"/>
      <c r="AR63" s="2"/>
      <c r="AS63" s="2"/>
    </row>
    <row r="64" spans="2:49" x14ac:dyDescent="0.3">
      <c r="B64" s="18" t="s">
        <v>66</v>
      </c>
      <c r="C64" s="18"/>
      <c r="D64" s="11">
        <f>T$30/(1+EXP((L64-T$33)/T$32))+T$31</f>
        <v>56.169595392545219</v>
      </c>
      <c r="E64" s="109">
        <f t="shared" si="0"/>
        <v>8.2454912705917529</v>
      </c>
      <c r="F64" s="110">
        <f xml:space="preserve"> -( 2.501*E64 - H64) / 1.006+(0.00189*E64)</f>
        <v>15.564101795435034</v>
      </c>
      <c r="G64" s="2">
        <f>K64/J64*100</f>
        <v>74.956836977229528</v>
      </c>
      <c r="H64" s="102">
        <f t="shared" si="1"/>
        <v>36.263782591585191</v>
      </c>
      <c r="I64" s="2">
        <f>240.7263/(7.591386/LOG(K64/6.11644,10)-1)</f>
        <v>11.142024497852931</v>
      </c>
      <c r="J64" s="2">
        <f>6.116441*10^(F64*7.591386/(F64+240.7263))</f>
        <v>17.681185917342209</v>
      </c>
      <c r="K64" s="2">
        <f>E64*1013/(621.9907+E64)</f>
        <v>13.253257703703063</v>
      </c>
      <c r="L64" s="2">
        <f>J64-K64</f>
        <v>4.4279282136391451</v>
      </c>
      <c r="M64" s="2"/>
      <c r="N64" s="2"/>
      <c r="O64" s="2"/>
      <c r="P64" s="2"/>
      <c r="Q64" s="2"/>
      <c r="R64" s="2"/>
      <c r="S64" s="2"/>
      <c r="T64" s="2"/>
      <c r="V64" s="2"/>
      <c r="W64" s="28"/>
      <c r="X64" s="28"/>
      <c r="Y64" s="2"/>
      <c r="Z64" s="2"/>
      <c r="AA64" s="2"/>
      <c r="AI64" s="2"/>
      <c r="AJ64" s="2"/>
      <c r="AL64" s="2"/>
      <c r="AM64" s="2"/>
      <c r="AW64" s="49"/>
    </row>
    <row r="65" spans="1:49" x14ac:dyDescent="0.3">
      <c r="B65" s="18"/>
      <c r="C65" s="18"/>
      <c r="D65" s="2"/>
      <c r="E65" s="108">
        <f>(L64-L$33)*0.1</f>
        <v>7.8508058507154038E-5</v>
      </c>
      <c r="H65" s="2"/>
      <c r="I65" s="103"/>
      <c r="N65" s="2"/>
      <c r="Q65" s="2"/>
      <c r="R65" s="2"/>
      <c r="S65" s="2"/>
      <c r="T65" s="2"/>
      <c r="V65" s="2"/>
      <c r="W65" s="28"/>
      <c r="X65" s="28"/>
      <c r="Y65" s="2"/>
      <c r="Z65" s="2"/>
      <c r="AA65" s="2"/>
      <c r="AI65" s="2"/>
      <c r="AJ65" s="2"/>
      <c r="AL65" s="2"/>
    </row>
    <row r="66" spans="1:49" x14ac:dyDescent="0.3">
      <c r="B66" s="18" t="s">
        <v>66</v>
      </c>
      <c r="C66" s="18"/>
      <c r="D66" s="11">
        <f>T$30/(1+EXP((L66-T$33)/T$32))+T$31</f>
        <v>56.175265020466597</v>
      </c>
      <c r="E66" s="109">
        <f t="shared" si="0"/>
        <v>8.2455697786502604</v>
      </c>
      <c r="F66" s="110">
        <f xml:space="preserve"> -( 2.501*E66 - H66) / 1.006+(0.00189*E66)</f>
        <v>15.56390676622647</v>
      </c>
      <c r="G66" s="2">
        <f>K66/J66*100</f>
        <v>74.958477841406534</v>
      </c>
      <c r="H66" s="102">
        <f t="shared" si="1"/>
        <v>36.263782591585191</v>
      </c>
      <c r="I66" s="2">
        <f>240.7263/(7.591386/LOG(K66/6.11644,10)-1)</f>
        <v>11.142166163061525</v>
      </c>
      <c r="J66" s="2">
        <f>6.116441*10^(F66*7.591386/(F66+240.7263))</f>
        <v>17.680965012982654</v>
      </c>
      <c r="K66" s="2">
        <f>E66*1013/(621.9907+E66)</f>
        <v>13.253382241403445</v>
      </c>
      <c r="L66" s="2">
        <f>J66-K66</f>
        <v>4.4275827715792087</v>
      </c>
      <c r="M66" s="2"/>
      <c r="N66" s="2"/>
      <c r="O66" s="2"/>
      <c r="P66" s="2"/>
      <c r="Q66" s="2"/>
      <c r="R66" s="2"/>
      <c r="S66" s="2"/>
      <c r="T66" s="2"/>
      <c r="V66" s="2"/>
      <c r="W66" s="28"/>
      <c r="X66" s="28"/>
      <c r="Y66" s="2"/>
      <c r="Z66" s="2"/>
      <c r="AA66" s="2"/>
      <c r="AI66" s="2"/>
      <c r="AJ66" s="2"/>
      <c r="AL66" s="2"/>
    </row>
    <row r="67" spans="1:49" x14ac:dyDescent="0.3">
      <c r="B67" s="18"/>
      <c r="C67" s="18"/>
      <c r="D67" s="2"/>
      <c r="E67" s="108">
        <f>(L66-L$33)*0.1</f>
        <v>4.3963852513506653E-5</v>
      </c>
      <c r="H67" s="2"/>
      <c r="I67" s="103"/>
      <c r="N67" s="2"/>
      <c r="Q67" s="2"/>
      <c r="R67" s="2"/>
      <c r="S67" s="2"/>
      <c r="T67" s="2"/>
      <c r="V67" s="2"/>
      <c r="W67" s="28"/>
      <c r="X67" s="28"/>
      <c r="Y67" s="2"/>
      <c r="Z67" s="2"/>
      <c r="AA67" s="2"/>
      <c r="AI67" s="2"/>
      <c r="AL67" s="2"/>
      <c r="AW67" s="49"/>
    </row>
    <row r="68" spans="1:49" x14ac:dyDescent="0.3">
      <c r="B68" s="18" t="s">
        <v>66</v>
      </c>
      <c r="C68" s="18"/>
      <c r="D68" s="11">
        <f>T$30/(1+EXP((L68-T$33)/T$32))+T$31</f>
        <v>56.178439876397469</v>
      </c>
      <c r="E68" s="109">
        <f t="shared" si="0"/>
        <v>8.2456137425027745</v>
      </c>
      <c r="F68" s="110">
        <f xml:space="preserve"> -( 2.501*E68 - H68) / 1.006+(0.00189*E68)</f>
        <v>15.563797551509861</v>
      </c>
      <c r="G68" s="2">
        <f>K68/J68*100</f>
        <v>74.959396724890368</v>
      </c>
      <c r="H68" s="102">
        <f t="shared" si="1"/>
        <v>36.263782591585191</v>
      </c>
      <c r="I68" s="2">
        <f>240.7263/(7.591386/LOG(K68/6.11644,10)-1)</f>
        <v>11.142245493859679</v>
      </c>
      <c r="J68" s="2">
        <f>6.116441*10^(F68*7.591386/(F68+240.7263))</f>
        <v>17.680841309457765</v>
      </c>
      <c r="K68" s="2">
        <f>E68*1013/(621.9907+E68)</f>
        <v>13.253451981454749</v>
      </c>
      <c r="L68" s="2">
        <f>J68-K68</f>
        <v>4.4273893280030165</v>
      </c>
      <c r="M68" s="2"/>
      <c r="N68" s="2"/>
      <c r="O68" s="2"/>
      <c r="P68" s="2"/>
      <c r="Q68" s="2"/>
      <c r="R68" s="2"/>
      <c r="S68" s="2"/>
      <c r="T68" s="2"/>
      <c r="V68" s="2"/>
      <c r="W68" s="28"/>
      <c r="X68" s="28"/>
      <c r="Y68" s="2"/>
      <c r="Z68" s="2"/>
      <c r="AA68" s="2"/>
      <c r="AI68" s="45"/>
      <c r="AK68" s="1"/>
    </row>
    <row r="69" spans="1:49" x14ac:dyDescent="0.3">
      <c r="B69" s="18"/>
      <c r="C69" s="18"/>
      <c r="D69" s="2"/>
      <c r="E69" s="108">
        <f>(L68-L$33)*0.1</f>
        <v>2.4619494894295713E-5</v>
      </c>
      <c r="H69" s="2"/>
      <c r="I69" s="103"/>
      <c r="N69" s="2"/>
      <c r="Q69" s="2"/>
      <c r="R69" s="2"/>
      <c r="S69" s="2"/>
      <c r="T69" s="2"/>
      <c r="V69" s="2"/>
      <c r="W69" s="28"/>
      <c r="X69" s="28"/>
      <c r="Y69" s="2"/>
      <c r="Z69" s="2"/>
      <c r="AA69" s="2"/>
      <c r="AD69" s="2"/>
      <c r="AE69" s="2"/>
      <c r="AF69" s="2"/>
      <c r="AG69" s="2"/>
      <c r="AH69" s="2"/>
      <c r="AI69" s="45"/>
      <c r="AK69" s="1"/>
    </row>
    <row r="70" spans="1:49" x14ac:dyDescent="0.3">
      <c r="B70" s="18" t="s">
        <v>66</v>
      </c>
      <c r="C70" s="18"/>
      <c r="D70" s="11">
        <f>T$30/(1+EXP((L70-T$33)/T$32))+T$31</f>
        <v>56.180217749145726</v>
      </c>
      <c r="E70" s="109">
        <f t="shared" si="0"/>
        <v>8.2456383619976688</v>
      </c>
      <c r="F70" s="110">
        <f xml:space="preserve"> -( 2.501*E70 - H70) / 1.006+(0.00189*E70)</f>
        <v>15.563736391920699</v>
      </c>
      <c r="G70" s="2">
        <f>K70/J70*100</f>
        <v>74.959911298339279</v>
      </c>
      <c r="H70" s="102">
        <f t="shared" si="1"/>
        <v>36.263782591585191</v>
      </c>
      <c r="I70" s="2">
        <f>240.7263/(7.591386/LOG(K70/6.11644,10)-1)</f>
        <v>11.142289918467613</v>
      </c>
      <c r="J70" s="2">
        <f>6.116441*10^(F70*7.591386/(F70+240.7263))</f>
        <v>17.680772036554469</v>
      </c>
      <c r="K70" s="2">
        <f>E70*1013/(621.9907+E70)</f>
        <v>13.253491035462805</v>
      </c>
      <c r="L70" s="2">
        <f>J70-K70</f>
        <v>4.4272810010916643</v>
      </c>
      <c r="M70" s="2"/>
      <c r="N70" s="2"/>
      <c r="O70" s="2"/>
      <c r="P70" s="2"/>
      <c r="Q70" s="2"/>
      <c r="R70" s="2"/>
      <c r="S70" s="2"/>
      <c r="T70" s="2"/>
      <c r="V70" s="2"/>
      <c r="W70" s="28"/>
      <c r="X70" s="28"/>
      <c r="Y70" s="2"/>
      <c r="Z70" s="2"/>
      <c r="AA70" s="2"/>
      <c r="AI70" s="45"/>
      <c r="AK70" s="1"/>
    </row>
    <row r="71" spans="1:49" x14ac:dyDescent="0.3">
      <c r="B71" s="18"/>
      <c r="C71" s="18"/>
      <c r="D71" s="2"/>
      <c r="E71" s="108">
        <f>(L70-L$33)*0.1</f>
        <v>1.3786803759074928E-5</v>
      </c>
      <c r="H71" s="2"/>
      <c r="I71" s="103"/>
      <c r="N71" s="2"/>
      <c r="Q71" s="2"/>
      <c r="R71" s="2"/>
      <c r="S71" s="2"/>
      <c r="T71" s="2"/>
      <c r="V71" s="2"/>
      <c r="W71" s="28"/>
      <c r="X71" s="28"/>
      <c r="Y71" s="2"/>
      <c r="Z71" s="2"/>
      <c r="AA71" s="2"/>
      <c r="AI71" s="2"/>
      <c r="AK71" s="1"/>
    </row>
    <row r="72" spans="1:49" x14ac:dyDescent="0.3">
      <c r="B72" s="18" t="s">
        <v>66</v>
      </c>
      <c r="C72" s="18"/>
      <c r="D72" s="11">
        <f>T$30/(1+EXP((L72-T$33)/T$32))+T$31</f>
        <v>56.181213341034962</v>
      </c>
      <c r="E72" s="109">
        <f t="shared" si="0"/>
        <v>8.2456521488014278</v>
      </c>
      <c r="F72" s="110">
        <f xml:space="preserve"> -( 2.501*E72 - H72) / 1.006+(0.00189*E72)</f>
        <v>15.56370214283243</v>
      </c>
      <c r="G72" s="2">
        <f>K72/J72*100</f>
        <v>74.960199458413214</v>
      </c>
      <c r="H72" s="102">
        <f t="shared" si="1"/>
        <v>36.263782591585191</v>
      </c>
      <c r="I72" s="2">
        <f>240.7263/(7.591386/LOG(K72/6.11644,10)-1)</f>
        <v>11.142314795991613</v>
      </c>
      <c r="J72" s="2">
        <f>6.116441*10^(F72*7.591386/(F72+240.7263))</f>
        <v>17.68073324415175</v>
      </c>
      <c r="K72" s="2">
        <f>E72*1013/(621.9907+E72)</f>
        <v>13.253512905526124</v>
      </c>
      <c r="L72" s="2">
        <f>J72-K72</f>
        <v>4.4272203386256255</v>
      </c>
      <c r="M72" s="2"/>
      <c r="N72" s="2"/>
      <c r="O72" s="2"/>
      <c r="P72" s="2"/>
      <c r="Q72" s="2"/>
      <c r="R72" s="2"/>
      <c r="S72" s="2"/>
      <c r="T72" s="2"/>
      <c r="V72" s="2"/>
      <c r="W72" s="28"/>
      <c r="X72" s="28"/>
      <c r="Y72" s="2"/>
      <c r="Z72" s="2"/>
      <c r="AA72" s="2"/>
      <c r="AI72" s="2"/>
      <c r="AK72" s="1"/>
    </row>
    <row r="73" spans="1:49" x14ac:dyDescent="0.3">
      <c r="B73" s="18"/>
      <c r="C73" s="18"/>
      <c r="D73" s="2"/>
      <c r="E73" s="108">
        <f>(L72-L$33)*0.1</f>
        <v>7.720557155188602E-6</v>
      </c>
      <c r="H73" s="2"/>
      <c r="I73" s="103"/>
      <c r="N73" s="2"/>
      <c r="Q73" s="2"/>
      <c r="R73" s="2"/>
      <c r="S73" s="2"/>
      <c r="T73" s="2"/>
      <c r="V73" s="2"/>
      <c r="W73" s="28"/>
      <c r="X73" s="28"/>
      <c r="Y73" s="2"/>
      <c r="Z73" s="2"/>
      <c r="AA73" s="2"/>
      <c r="AI73" s="2"/>
      <c r="AK73" s="1"/>
    </row>
    <row r="74" spans="1:49" x14ac:dyDescent="0.3">
      <c r="B74" s="18" t="s">
        <v>66</v>
      </c>
      <c r="C74" s="18"/>
      <c r="D74" s="11">
        <f>T$30/(1+EXP((L74-T$33)/T$32))+T$31</f>
        <v>56.181770865952281</v>
      </c>
      <c r="E74" s="109">
        <f t="shared" si="0"/>
        <v>8.2456598693585832</v>
      </c>
      <c r="F74" s="110">
        <f xml:space="preserve"> -( 2.501*E74 - H74) / 1.006+(0.00189*E74)</f>
        <v>15.563682963474536</v>
      </c>
      <c r="G74" s="2">
        <f>K74/J74*100</f>
        <v>74.960360827359395</v>
      </c>
      <c r="H74" s="102">
        <f t="shared" si="1"/>
        <v>36.263782591585191</v>
      </c>
      <c r="I74" s="2">
        <f>240.7263/(7.591386/LOG(K74/6.11644,10)-1)</f>
        <v>11.142328727293251</v>
      </c>
      <c r="J74" s="2">
        <f>6.116441*10^(F74*7.591386/(F74+240.7263))</f>
        <v>17.680711520587874</v>
      </c>
      <c r="K74" s="2">
        <f>E74*1013/(621.9907+E74)</f>
        <v>13.253525152677172</v>
      </c>
      <c r="L74" s="2">
        <f>J74-K74</f>
        <v>4.4271863679107017</v>
      </c>
      <c r="M74" s="2"/>
      <c r="N74" s="2"/>
      <c r="O74" s="2"/>
      <c r="P74" s="2"/>
      <c r="Q74" s="2"/>
      <c r="R74" s="2"/>
      <c r="S74" s="2"/>
      <c r="T74" s="2"/>
      <c r="V74" s="2"/>
      <c r="W74" s="28"/>
      <c r="X74" s="28"/>
      <c r="Y74" s="2"/>
      <c r="Z74" s="2"/>
      <c r="AA74" s="2"/>
      <c r="AD74" s="2"/>
      <c r="AE74" s="2"/>
      <c r="AF74" s="2"/>
      <c r="AG74" s="2"/>
      <c r="AH74" s="45"/>
      <c r="AI74" s="2"/>
      <c r="AK74" s="1"/>
    </row>
    <row r="75" spans="1:49" x14ac:dyDescent="0.3">
      <c r="B75" s="18"/>
      <c r="C75" s="18"/>
      <c r="D75" s="2"/>
      <c r="I75" s="103"/>
      <c r="R75" s="43"/>
      <c r="S75" s="2"/>
      <c r="T75" s="2"/>
      <c r="V75" s="2"/>
      <c r="W75" s="28"/>
      <c r="X75" s="28"/>
      <c r="Y75" s="2"/>
      <c r="Z75" s="2"/>
      <c r="AA75" s="2"/>
      <c r="AH75" s="46"/>
      <c r="AI75" s="2"/>
      <c r="AK75" s="1"/>
    </row>
    <row r="76" spans="1:49" x14ac:dyDescent="0.3">
      <c r="A76" s="111" t="s">
        <v>67</v>
      </c>
      <c r="B76" s="18"/>
      <c r="C76" s="18"/>
      <c r="D76" s="2"/>
      <c r="K76" s="103"/>
      <c r="O76" s="2"/>
      <c r="P76" s="2"/>
      <c r="Q76" s="2"/>
      <c r="R76" s="2"/>
      <c r="AA76" s="18"/>
      <c r="AB76" s="18"/>
      <c r="AC76" s="2"/>
      <c r="AF76" s="43"/>
      <c r="AG76" s="43"/>
      <c r="AH76" s="25"/>
      <c r="AI76" s="25"/>
      <c r="AJ76" s="46"/>
    </row>
    <row r="79" spans="1:49" x14ac:dyDescent="0.3">
      <c r="R79" s="2"/>
      <c r="S79" s="2"/>
      <c r="U79" s="49"/>
      <c r="V79" s="49"/>
      <c r="AA79" s="2"/>
      <c r="AB79" s="2"/>
      <c r="AC79" s="2"/>
      <c r="AF79" s="2"/>
      <c r="AG79" s="2"/>
      <c r="AH79" s="2"/>
      <c r="AI79" s="2"/>
      <c r="AJ79" s="2"/>
    </row>
    <row r="80" spans="1:49" x14ac:dyDescent="0.3">
      <c r="R80" s="2"/>
      <c r="T80" s="2"/>
      <c r="U80" s="2"/>
      <c r="V80" s="2"/>
      <c r="AA80" s="2"/>
      <c r="AB80" s="2"/>
      <c r="AC80" s="2"/>
    </row>
    <row r="82" spans="18:29" x14ac:dyDescent="0.3">
      <c r="T82" s="2"/>
      <c r="U82" s="2"/>
      <c r="V82" s="2"/>
      <c r="AA82" s="2"/>
      <c r="AB82" s="2"/>
      <c r="AC82" s="2"/>
    </row>
    <row r="86" spans="18:29" x14ac:dyDescent="0.3">
      <c r="S86" s="2"/>
      <c r="U86" s="2"/>
      <c r="V86" s="2"/>
      <c r="AC86" s="2"/>
    </row>
    <row r="88" spans="18:29" x14ac:dyDescent="0.3">
      <c r="AA88" s="18"/>
      <c r="AB88" s="18"/>
    </row>
    <row r="89" spans="18:29" x14ac:dyDescent="0.3">
      <c r="AA89" s="18"/>
      <c r="AB89" s="18"/>
      <c r="AC89" s="2"/>
    </row>
    <row r="90" spans="18:29" x14ac:dyDescent="0.3">
      <c r="AA90" s="18"/>
      <c r="AB90" s="18"/>
      <c r="AC90" s="2"/>
    </row>
    <row r="91" spans="18:29" x14ac:dyDescent="0.3">
      <c r="S91" s="2"/>
      <c r="U91" s="2"/>
      <c r="V91" s="2"/>
      <c r="AC91" s="2"/>
    </row>
    <row r="95" spans="18:29" x14ac:dyDescent="0.3">
      <c r="R95" s="2"/>
      <c r="S95" s="2"/>
      <c r="U95" s="49"/>
      <c r="V95" s="49"/>
      <c r="AA95" s="2"/>
      <c r="AB95" s="2"/>
      <c r="AC95" s="2"/>
    </row>
    <row r="96" spans="18:29" x14ac:dyDescent="0.3">
      <c r="R96" s="2"/>
      <c r="S96" s="2"/>
      <c r="U96" s="49"/>
      <c r="V96" s="49"/>
      <c r="AA96" s="2"/>
      <c r="AB96" s="2"/>
      <c r="AC96" s="2"/>
    </row>
    <row r="97" spans="18:29" x14ac:dyDescent="0.3">
      <c r="R97" s="2"/>
      <c r="T97" s="2"/>
      <c r="U97" s="2"/>
      <c r="V97" s="2"/>
      <c r="AA97" s="2"/>
      <c r="AB97" s="2"/>
      <c r="AC97" s="2"/>
    </row>
    <row r="99" spans="18:29" x14ac:dyDescent="0.3">
      <c r="T99" s="2"/>
      <c r="U99" s="2"/>
      <c r="V99" s="2"/>
      <c r="AA99" s="2"/>
      <c r="AB99" s="2"/>
      <c r="AC99" s="2"/>
    </row>
    <row r="103" spans="18:29" x14ac:dyDescent="0.3">
      <c r="S103" s="2"/>
      <c r="U103" s="2"/>
      <c r="V103" s="2"/>
      <c r="AC103" s="2"/>
    </row>
    <row r="105" spans="18:29" x14ac:dyDescent="0.3">
      <c r="AA105" s="18"/>
      <c r="AB105" s="18"/>
    </row>
    <row r="106" spans="18:29" x14ac:dyDescent="0.3">
      <c r="AA106" s="18"/>
      <c r="AB106" s="18"/>
      <c r="AC106" s="2"/>
    </row>
    <row r="107" spans="18:29" x14ac:dyDescent="0.3">
      <c r="S107" s="2"/>
      <c r="U107" s="2"/>
      <c r="V107" s="2"/>
      <c r="AC107" s="2"/>
    </row>
    <row r="108" spans="18:29" x14ac:dyDescent="0.3">
      <c r="T108" s="43"/>
      <c r="U108" s="2"/>
      <c r="V108" s="2"/>
      <c r="AC108" s="2"/>
    </row>
    <row r="111" spans="18:29" x14ac:dyDescent="0.3">
      <c r="R111" s="2"/>
      <c r="S111" s="2"/>
      <c r="U111" s="49"/>
      <c r="V111" s="49"/>
      <c r="AA111" s="2"/>
      <c r="AB111" s="2"/>
      <c r="AC111" s="2"/>
    </row>
    <row r="112" spans="18:29" x14ac:dyDescent="0.3">
      <c r="R112" s="2"/>
      <c r="T112" s="2"/>
      <c r="U112" s="2"/>
      <c r="V112" s="2"/>
      <c r="AA112" s="2"/>
      <c r="AB112" s="2"/>
      <c r="AC112" s="2"/>
    </row>
    <row r="114" spans="18:29" x14ac:dyDescent="0.3">
      <c r="T114" s="2"/>
      <c r="U114" s="2"/>
      <c r="V114" s="2"/>
      <c r="AA114" s="2"/>
      <c r="AB114" s="2"/>
      <c r="AC114" s="2"/>
    </row>
    <row r="117" spans="18:29" x14ac:dyDescent="0.3">
      <c r="S117" s="2"/>
      <c r="U117" s="2"/>
      <c r="V117" s="2"/>
      <c r="AC117" s="2"/>
    </row>
    <row r="119" spans="18:29" x14ac:dyDescent="0.3">
      <c r="AA119" s="18"/>
      <c r="AB119" s="18"/>
    </row>
    <row r="120" spans="18:29" x14ac:dyDescent="0.3">
      <c r="AA120" s="18"/>
      <c r="AB120" s="18"/>
      <c r="AC120" s="2"/>
    </row>
    <row r="121" spans="18:29" x14ac:dyDescent="0.3">
      <c r="S121" s="2"/>
      <c r="U121" s="2"/>
      <c r="V121" s="2"/>
      <c r="AC121" s="2"/>
    </row>
    <row r="125" spans="18:29" x14ac:dyDescent="0.3">
      <c r="R125" s="2"/>
      <c r="S125" s="2"/>
      <c r="U125" s="49"/>
      <c r="V125" s="49"/>
      <c r="AA125" s="2"/>
      <c r="AB125" s="2"/>
      <c r="AC125" s="2"/>
    </row>
    <row r="126" spans="18:29" x14ac:dyDescent="0.3">
      <c r="R126" s="2"/>
      <c r="T126" s="2"/>
      <c r="U126" s="2"/>
      <c r="V126" s="2"/>
      <c r="AA126" s="2"/>
      <c r="AB126" s="2"/>
      <c r="AC126" s="2"/>
    </row>
    <row r="128" spans="18:29" x14ac:dyDescent="0.3">
      <c r="T128" s="2"/>
      <c r="U128" s="2"/>
      <c r="V128" s="2"/>
      <c r="AA128" s="2"/>
      <c r="AB128" s="2"/>
      <c r="AC128" s="2"/>
    </row>
    <row r="131" spans="18:29" x14ac:dyDescent="0.3">
      <c r="S131" s="2"/>
      <c r="U131" s="2"/>
      <c r="V131" s="2"/>
      <c r="AC131" s="2"/>
    </row>
    <row r="133" spans="18:29" x14ac:dyDescent="0.3">
      <c r="AA133" s="18"/>
      <c r="AB133" s="18"/>
    </row>
    <row r="134" spans="18:29" x14ac:dyDescent="0.3">
      <c r="AA134" s="18"/>
      <c r="AB134" s="18"/>
      <c r="AC134" s="2"/>
    </row>
    <row r="135" spans="18:29" x14ac:dyDescent="0.3">
      <c r="S135" s="2"/>
      <c r="U135" s="2"/>
      <c r="V135" s="2"/>
      <c r="AC135" s="2"/>
    </row>
    <row r="139" spans="18:29" x14ac:dyDescent="0.3">
      <c r="R139" s="2"/>
      <c r="S139" s="2"/>
      <c r="U139" s="49"/>
      <c r="V139" s="49"/>
      <c r="AA139" s="2"/>
      <c r="AB139" s="2"/>
      <c r="AC139" s="2"/>
    </row>
    <row r="140" spans="18:29" x14ac:dyDescent="0.3">
      <c r="R140" s="2"/>
      <c r="T140" s="2"/>
      <c r="U140" s="2"/>
      <c r="V140" s="2"/>
      <c r="AA140" s="2"/>
      <c r="AB140" s="2"/>
      <c r="AC140" s="2"/>
    </row>
    <row r="142" spans="18:29" x14ac:dyDescent="0.3">
      <c r="T142" s="2"/>
      <c r="U142" s="2"/>
      <c r="V142" s="2"/>
      <c r="AA142" s="2"/>
      <c r="AB142" s="2"/>
      <c r="AC142" s="2"/>
    </row>
    <row r="145" spans="18:29" x14ac:dyDescent="0.3">
      <c r="S145" s="2"/>
      <c r="U145" s="2"/>
      <c r="V145" s="2"/>
      <c r="AC145" s="2"/>
    </row>
    <row r="147" spans="18:29" x14ac:dyDescent="0.3">
      <c r="AA147" s="18"/>
      <c r="AB147" s="18"/>
    </row>
    <row r="148" spans="18:29" x14ac:dyDescent="0.3">
      <c r="AA148" s="18"/>
      <c r="AB148" s="18"/>
      <c r="AC148" s="2"/>
    </row>
    <row r="149" spans="18:29" x14ac:dyDescent="0.3">
      <c r="S149" s="2"/>
      <c r="U149" s="2"/>
      <c r="V149" s="2"/>
      <c r="AC149" s="2"/>
    </row>
    <row r="153" spans="18:29" x14ac:dyDescent="0.3">
      <c r="R153" s="2"/>
      <c r="S153" s="2"/>
      <c r="U153" s="49"/>
      <c r="V153" s="49"/>
      <c r="AA153" s="2"/>
      <c r="AB153" s="2"/>
      <c r="AC153" s="2"/>
    </row>
    <row r="154" spans="18:29" x14ac:dyDescent="0.3">
      <c r="R154" s="2"/>
      <c r="T154" s="2"/>
      <c r="U154" s="2"/>
      <c r="V154" s="2"/>
      <c r="AA154" s="2"/>
      <c r="AB154" s="2"/>
      <c r="AC154" s="2"/>
    </row>
    <row r="156" spans="18:29" x14ac:dyDescent="0.3">
      <c r="T156" s="2"/>
      <c r="U156" s="2"/>
      <c r="V156" s="2"/>
      <c r="AA156" s="2"/>
      <c r="AB156" s="2"/>
      <c r="AC156" s="2"/>
    </row>
    <row r="159" spans="18:29" x14ac:dyDescent="0.3">
      <c r="S159" s="2"/>
      <c r="U159" s="2"/>
      <c r="V159" s="2"/>
      <c r="AC159" s="2"/>
    </row>
    <row r="161" spans="19:29" x14ac:dyDescent="0.3">
      <c r="AA161" s="18"/>
      <c r="AB161" s="18"/>
    </row>
    <row r="162" spans="19:29" x14ac:dyDescent="0.3">
      <c r="AA162" s="18"/>
      <c r="AB162" s="18"/>
      <c r="AC162" s="2"/>
    </row>
    <row r="163" spans="19:29" x14ac:dyDescent="0.3">
      <c r="S163" s="2"/>
      <c r="U163" s="2"/>
      <c r="V163" s="2"/>
      <c r="AC163" s="2"/>
    </row>
  </sheetData>
  <sheetProtection algorithmName="SHA-512" hashValue="btq5jQuvRg1D3skHHD3bTWbbUDVCEdpq4io7gs9Soa93kutu7cS0juLI0WDzxoYWC6SSbn4/H8jLX2toXpUf6A==" saltValue="tiXr5+9rGyuI3K9zZfkAMw==" spinCount="100000" sheet="1" objects="1" scenarios="1"/>
  <mergeCells count="7">
    <mergeCell ref="A1:Z1"/>
    <mergeCell ref="A2:Z2"/>
    <mergeCell ref="A3:Z3"/>
    <mergeCell ref="A4:Z4"/>
    <mergeCell ref="AD30:AG30"/>
    <mergeCell ref="C7:K7"/>
    <mergeCell ref="L5:P5"/>
  </mergeCells>
  <hyperlinks>
    <hyperlink ref="A4" r:id="rId1" display="http://www.flycarpet.net/en/psyonline" xr:uid="{76269249-429B-44AA-8E9A-11E139B6B39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Blaisdell</dc:creator>
  <cp:lastModifiedBy>Charles Blaisdell</cp:lastModifiedBy>
  <dcterms:created xsi:type="dcterms:W3CDTF">2026-03-15T20:01:20Z</dcterms:created>
  <dcterms:modified xsi:type="dcterms:W3CDTF">2026-03-17T18:11:39Z</dcterms:modified>
</cp:coreProperties>
</file>