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William/Documents/Climate Alarmism/"/>
    </mc:Choice>
  </mc:AlternateContent>
  <xr:revisionPtr revIDLastSave="0" documentId="13_ncr:1_{EECE4BED-B503-704C-A96F-E43C9CBDF3FE}" xr6:coauthVersionLast="43" xr6:coauthVersionMax="43" xr10:uidLastSave="{00000000-0000-0000-0000-000000000000}"/>
  <bookViews>
    <workbookView xWindow="840" yWindow="460" windowWidth="27960" windowHeight="17540" xr2:uid="{58BF5E0F-4D42-634E-9CE2-7B135EB1599E}"/>
  </bookViews>
  <sheets>
    <sheet name="Constants" sheetId="3" r:id="rId1"/>
    <sheet name="Energy Above or Below 0C" sheetId="4" r:id="rId2"/>
    <sheet name="Greenland Ice Loss 1900-2015" sheetId="6" r:id="rId3"/>
    <sheet name="Antarctica Ice Loss" sheetId="7" r:id="rId4"/>
    <sheet name="Scenario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5" l="1"/>
  <c r="B11" i="7" l="1"/>
  <c r="E9" i="3" l="1"/>
  <c r="B6" i="7"/>
  <c r="B7" i="7"/>
  <c r="B9" i="7" s="1"/>
  <c r="B10" i="7" s="1"/>
  <c r="B12" i="7" s="1"/>
  <c r="B13" i="7" s="1"/>
  <c r="B15" i="7" s="1"/>
  <c r="B8" i="7"/>
  <c r="E7" i="3"/>
  <c r="E11" i="3"/>
  <c r="E12" i="3"/>
  <c r="E13" i="3"/>
  <c r="E17" i="6"/>
  <c r="D7" i="6"/>
  <c r="E7" i="6"/>
  <c r="D8" i="6"/>
  <c r="E8" i="6"/>
  <c r="D9" i="6"/>
  <c r="E9" i="6"/>
  <c r="E10" i="6"/>
  <c r="E14" i="6"/>
  <c r="E18" i="6"/>
  <c r="E21" i="6"/>
  <c r="E22" i="6"/>
  <c r="E26" i="6"/>
  <c r="G9" i="6"/>
  <c r="G8" i="6"/>
  <c r="G7" i="6"/>
  <c r="G10" i="6"/>
  <c r="G14" i="6"/>
  <c r="E9" i="5"/>
  <c r="E19" i="3"/>
  <c r="C6" i="4"/>
  <c r="D6" i="4"/>
  <c r="E6" i="4"/>
  <c r="G6" i="4"/>
  <c r="C14" i="5"/>
  <c r="D8" i="5"/>
  <c r="E8" i="5"/>
  <c r="D7" i="5"/>
  <c r="E7" i="5"/>
  <c r="C22" i="5"/>
  <c r="C18" i="5"/>
  <c r="E4" i="5"/>
  <c r="D4" i="5"/>
  <c r="G3" i="5"/>
  <c r="E3" i="5"/>
  <c r="E6" i="5"/>
  <c r="D6" i="5"/>
  <c r="E5" i="5"/>
  <c r="D5" i="5"/>
  <c r="H6" i="4"/>
  <c r="E7" i="4"/>
  <c r="D7" i="4"/>
  <c r="C7" i="4"/>
  <c r="F4" i="4"/>
  <c r="E4" i="4"/>
  <c r="G17" i="6"/>
  <c r="D4" i="4"/>
  <c r="F3" i="4"/>
  <c r="E3" i="4"/>
  <c r="D3" i="4"/>
  <c r="G3" i="4" s="1"/>
  <c r="G5" i="4" s="1"/>
  <c r="E10" i="3"/>
  <c r="G7" i="4"/>
  <c r="H7" i="4"/>
  <c r="F17" i="6"/>
  <c r="C3" i="4"/>
  <c r="F8" i="6"/>
  <c r="F7" i="6"/>
  <c r="F9" i="6"/>
  <c r="G18" i="6"/>
  <c r="G21" i="6"/>
  <c r="G22" i="6"/>
  <c r="G26" i="6"/>
  <c r="C8" i="5"/>
  <c r="C13" i="5"/>
  <c r="C3" i="5"/>
  <c r="C4" i="5" s="1"/>
  <c r="F4" i="5" s="1"/>
  <c r="C7" i="5"/>
  <c r="C12" i="5"/>
  <c r="E14" i="3"/>
  <c r="C4" i="4"/>
  <c r="G4" i="4"/>
  <c r="E15" i="3"/>
  <c r="F10" i="6"/>
  <c r="F14" i="6"/>
  <c r="F18" i="6"/>
  <c r="F21" i="6"/>
  <c r="F22" i="6"/>
  <c r="F26" i="6"/>
  <c r="F15" i="5"/>
  <c r="D14" i="5" l="1"/>
  <c r="E14" i="5" s="1"/>
  <c r="F14" i="5" s="1"/>
  <c r="C9" i="5"/>
  <c r="F9" i="5" s="1"/>
  <c r="D18" i="5"/>
  <c r="E18" i="5" s="1"/>
  <c r="C5" i="5"/>
  <c r="F5" i="5" s="1"/>
  <c r="D12" i="5"/>
  <c r="E12" i="5" s="1"/>
  <c r="F12" i="5" s="1"/>
  <c r="H3" i="4"/>
  <c r="D13" i="5"/>
  <c r="E13" i="5" s="1"/>
  <c r="F13" i="5" s="1"/>
  <c r="C6" i="5"/>
  <c r="F6" i="5" s="1"/>
  <c r="D22" i="5"/>
  <c r="E22" i="5" s="1"/>
  <c r="G19" i="5" l="1"/>
  <c r="F18" i="5"/>
  <c r="F22" i="5"/>
  <c r="G23" i="5"/>
</calcChain>
</file>

<file path=xl/sharedStrings.xml><?xml version="1.0" encoding="utf-8"?>
<sst xmlns="http://schemas.openxmlformats.org/spreadsheetml/2006/main" count="203" uniqueCount="146">
  <si>
    <t>kg</t>
  </si>
  <si>
    <t>Ice</t>
  </si>
  <si>
    <t>Oceans</t>
  </si>
  <si>
    <t>Atmosphere</t>
  </si>
  <si>
    <t>Mass (kg)</t>
  </si>
  <si>
    <t>Energy (J)</t>
  </si>
  <si>
    <t>Antarctic Ice</t>
  </si>
  <si>
    <t>Greenland Ice</t>
  </si>
  <si>
    <t>C</t>
  </si>
  <si>
    <t>Volume</t>
  </si>
  <si>
    <t>Mass</t>
  </si>
  <si>
    <t>Greenland</t>
  </si>
  <si>
    <t>Density</t>
  </si>
  <si>
    <t>All Atmosphere</t>
  </si>
  <si>
    <t>All Oceans</t>
  </si>
  <si>
    <t>Constants</t>
  </si>
  <si>
    <t>Specific Heat</t>
  </si>
  <si>
    <t>Water (H2O)</t>
  </si>
  <si>
    <t>Solid (Ice)</t>
  </si>
  <si>
    <t>Liquid</t>
  </si>
  <si>
    <t>Heat of Fusion</t>
  </si>
  <si>
    <t>Ocean Water</t>
  </si>
  <si>
    <t>Antarctica</t>
  </si>
  <si>
    <t>Greenland + Antarctica</t>
  </si>
  <si>
    <t>Air</t>
  </si>
  <si>
    <t>Atmospheric</t>
  </si>
  <si>
    <t>Solid &lt;--&gt; Liquid</t>
  </si>
  <si>
    <t>Below 2.5km</t>
  </si>
  <si>
    <t>Below 2.5km (T &gt; 0C)</t>
  </si>
  <si>
    <t>J/kg/C</t>
  </si>
  <si>
    <t>J/kg</t>
  </si>
  <si>
    <t>km^3</t>
  </si>
  <si>
    <t>ft Sea Level Rise</t>
  </si>
  <si>
    <t>kg/km3</t>
  </si>
  <si>
    <t>% Below 2.5km (T &gt; 0C)</t>
  </si>
  <si>
    <t>%</t>
  </si>
  <si>
    <t xml:space="preserve">Temperature </t>
  </si>
  <si>
    <t>Annual Mean - Inland</t>
  </si>
  <si>
    <t>https://en.wikipedia.org/wiki/Climate_of_Antarctica</t>
  </si>
  <si>
    <t>Avg Atmospheric Air</t>
  </si>
  <si>
    <t>Global Surface</t>
  </si>
  <si>
    <t>Surface to 2.5km</t>
  </si>
  <si>
    <t>Avg Ocean Water</t>
  </si>
  <si>
    <t>Global Mass</t>
  </si>
  <si>
    <t>Avg for Strata of Troposphere Above 0C</t>
  </si>
  <si>
    <t>Mass of Strata of Troposphere Above 0C (0-2.5km)</t>
  </si>
  <si>
    <t>% of Atmospheric Mass below 2.5km</t>
  </si>
  <si>
    <t>Energy Below 0C</t>
  </si>
  <si>
    <t>Specific Heat (J/kg/C)</t>
  </si>
  <si>
    <t>∆T (C)</t>
  </si>
  <si>
    <t>E (J)</t>
  </si>
  <si>
    <t>Heat of Fusion (J/kg)</t>
  </si>
  <si>
    <t>Ice Total</t>
  </si>
  <si>
    <t>Energy Above 0C</t>
  </si>
  <si>
    <t>All</t>
  </si>
  <si>
    <t>Normalized</t>
  </si>
  <si>
    <t>Energy to Melt All Ice Loaded Into Atmosphere below 2.5km</t>
  </si>
  <si>
    <t>m (kg)</t>
  </si>
  <si>
    <t>c (J/kg/C)</t>
  </si>
  <si>
    <t>Energy to Melt All Ice Loaded Into Entire Atmosphere</t>
  </si>
  <si>
    <t>Comments</t>
  </si>
  <si>
    <t>Ht Fus (J/kg)</t>
  </si>
  <si>
    <t>Ice Melt from Energy in Operation Nuclear Weapons</t>
  </si>
  <si>
    <t>Weapons E (J)</t>
  </si>
  <si>
    <t>Ice E (J)</t>
  </si>
  <si>
    <t>% E</t>
  </si>
  <si>
    <t>SLR (in)</t>
  </si>
  <si>
    <t>Weapons Multiple To Melt All Ice</t>
  </si>
  <si>
    <t>Weapon Mult</t>
  </si>
  <si>
    <t>Ice Melt from 1 Yr Global Elect Energy Gen</t>
  </si>
  <si>
    <t>Elec Gen E (j)</t>
  </si>
  <si>
    <t>Years to Melt</t>
  </si>
  <si>
    <t>Years of Global Elec Energy Gen to Melt All Ice</t>
  </si>
  <si>
    <t>Atm E (J)</t>
  </si>
  <si>
    <t>Sea Level Rise from Exchanging 1C Atm with Ice Melt</t>
  </si>
  <si>
    <t>Sea Level Rise from Exchanging 4C Atm with Ice Melt</t>
  </si>
  <si>
    <t>Sea Level Rise from Exchanging 16.5C Atm with Ice Melt</t>
  </si>
  <si>
    <t>Global avg temp will be 0C, 10C colder than depths of glacial period.</t>
  </si>
  <si>
    <t>Beyond the melting points of every element* but Tungsten and Carbon.</t>
  </si>
  <si>
    <t>Energy to Raise Atmosphere (&lt; 2.5km) by 1C</t>
  </si>
  <si>
    <t>Energy to Raise Atmosphere (&lt; 2.5km) by 4C</t>
  </si>
  <si>
    <t>Years</t>
  </si>
  <si>
    <t>Low (GT)</t>
  </si>
  <si>
    <t>Mid (GT)</t>
  </si>
  <si>
    <t>High (GT)</t>
  </si>
  <si>
    <t>Low (kg)</t>
  </si>
  <si>
    <t>Mid (kg)</t>
  </si>
  <si>
    <t>High (kg)</t>
  </si>
  <si>
    <t>Greenland Ice Loss (1900 - 2010)</t>
  </si>
  <si>
    <t>Greenland Ice Mass Today</t>
  </si>
  <si>
    <t>Greenland Ice Mass 1900</t>
  </si>
  <si>
    <t>Greenland Ice Mass Today as % 1900</t>
  </si>
  <si>
    <t>Greenland Ice Mass Loss % since 1900</t>
  </si>
  <si>
    <t>Sea Level Rise from 1900-2010 Greenland Ice Loss</t>
  </si>
  <si>
    <t xml:space="preserve">Study: </t>
  </si>
  <si>
    <t>https://www.nature.com/articles/nature16183</t>
  </si>
  <si>
    <t>Greenland Ice Mass --&gt; Sea Level Rise</t>
  </si>
  <si>
    <t>Contribution to SLR Over 111 Years</t>
  </si>
  <si>
    <t>Low (in)</t>
  </si>
  <si>
    <t>Mid (in)</t>
  </si>
  <si>
    <t>High (in)</t>
  </si>
  <si>
    <t>Ice Loss Estimate</t>
  </si>
  <si>
    <t>Start Yr</t>
  </si>
  <si>
    <t>End Yr</t>
  </si>
  <si>
    <t>Scenario Description</t>
  </si>
  <si>
    <t>Cooling atm by 1C.  Heat exchange from atm to ice melt gives this SLR.</t>
  </si>
  <si>
    <t>Cooling atm by 4C.  Heat exchange from atm to ice melt gives this SLR.</t>
  </si>
  <si>
    <t>https://pubs.usgs.gov/fs/fs2-00/</t>
  </si>
  <si>
    <t>https://water.usgs.gov/edu/watercycleoceans.html</t>
  </si>
  <si>
    <t>https://en.wikipedia.org/wiki/Atmosphere_of_Earth</t>
  </si>
  <si>
    <t>Est from Inland Station Data</t>
  </si>
  <si>
    <t>1,528C hotter than surface of Sun.</t>
  </si>
  <si>
    <t>2A</t>
  </si>
  <si>
    <t>2B</t>
  </si>
  <si>
    <t>3A</t>
  </si>
  <si>
    <t>3B</t>
  </si>
  <si>
    <t>2C</t>
  </si>
  <si>
    <t>3C</t>
  </si>
  <si>
    <t>4A</t>
  </si>
  <si>
    <t>4B</t>
  </si>
  <si>
    <t>3D</t>
  </si>
  <si>
    <t>Key #</t>
  </si>
  <si>
    <t>Antarctic Ice Loss 1992 - 2017</t>
  </si>
  <si>
    <t>Antarctic Ice Contribution to SLR</t>
  </si>
  <si>
    <t>inches</t>
  </si>
  <si>
    <t xml:space="preserve">https://climate.nasa.gov/news/2749/ramp-up-in-antarctic-ice-loss-speeds-sea-level-rise/?fbclid=IwAR2Vnkbxxa-NTU_v0lRUUGGDffMs4Q6BGvHX-KHzcHM7-q2B7IO59wCEiQc </t>
  </si>
  <si>
    <t>Antarctic SLR Potential</t>
  </si>
  <si>
    <t>feet</t>
  </si>
  <si>
    <t>Melt Period</t>
  </si>
  <si>
    <t>years</t>
  </si>
  <si>
    <t>Antarctic Melt % Over Period</t>
  </si>
  <si>
    <t>Antarctic Melt %/yr</t>
  </si>
  <si>
    <t>lbs</t>
  </si>
  <si>
    <t>220lb Man Mass Loss Equiv/yr</t>
  </si>
  <si>
    <t>g</t>
  </si>
  <si>
    <t>Mass of Water Drop 0.05ml</t>
  </si>
  <si>
    <t>mg</t>
  </si>
  <si>
    <t>Drops of H2O in Man Mass Loss</t>
  </si>
  <si>
    <t>drops/tears</t>
  </si>
  <si>
    <t>Antarctic 100% melt yrs</t>
  </si>
  <si>
    <t>-25C Ice to 0C Ice, then 0C Ice to 0C Water.</t>
  </si>
  <si>
    <t>Temp Rise of 1kg Ocean Water at 0C from E in Scenario #1</t>
  </si>
  <si>
    <t>1kg of water will be boiling.</t>
  </si>
  <si>
    <t>Energy to Melt All Ice Loaded Into Top 10% of Oceans</t>
  </si>
  <si>
    <t>Energy to Melt 1kg Polar Ice at -25C to Water at 0C</t>
  </si>
  <si>
    <t>Energy to melt all ice would raise top 10% ocean temp by this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</si>
</sst>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0.000E+00"/>
    <numFmt numFmtId="168" formatCode="0.0%"/>
    <numFmt numFmtId="169" formatCode="0.0000%"/>
    <numFmt numFmtId="170" formatCode="0.000000%"/>
    <numFmt numFmtId="171" formatCode="0.0E+00"/>
    <numFmt numFmtId="172" formatCode="0.00000%"/>
    <numFmt numFmtId="173" formatCode="0.0000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3">
    <xf numFmtId="0" fontId="0" fillId="0" borderId="0" xfId="0"/>
    <xf numFmtId="11" fontId="0" fillId="0" borderId="0" xfId="0" applyNumberFormat="1"/>
    <xf numFmtId="0" fontId="0" fillId="0" borderId="2" xfId="0" applyBorder="1"/>
    <xf numFmtId="11" fontId="1" fillId="0" borderId="2" xfId="0" applyNumberFormat="1" applyFont="1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0" fillId="0" borderId="15" xfId="0" applyBorder="1"/>
    <xf numFmtId="0" fontId="0" fillId="0" borderId="7" xfId="0" applyBorder="1"/>
    <xf numFmtId="11" fontId="1" fillId="0" borderId="15" xfId="0" applyNumberFormat="1" applyFont="1" applyBorder="1"/>
    <xf numFmtId="0" fontId="0" fillId="0" borderId="5" xfId="0" applyBorder="1"/>
    <xf numFmtId="0" fontId="0" fillId="0" borderId="10" xfId="0" applyBorder="1"/>
    <xf numFmtId="11" fontId="1" fillId="0" borderId="4" xfId="0" applyNumberFormat="1" applyFont="1" applyBorder="1"/>
    <xf numFmtId="166" fontId="0" fillId="0" borderId="9" xfId="2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0" fillId="0" borderId="0" xfId="2" applyNumberFormat="1" applyFont="1" applyBorder="1"/>
    <xf numFmtId="0" fontId="0" fillId="0" borderId="0" xfId="0" applyBorder="1"/>
    <xf numFmtId="11" fontId="0" fillId="0" borderId="0" xfId="0" applyNumberFormat="1" applyBorder="1"/>
    <xf numFmtId="0" fontId="4" fillId="0" borderId="0" xfId="3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/>
    <xf numFmtId="166" fontId="0" fillId="0" borderId="2" xfId="2" applyNumberFormat="1" applyFont="1" applyBorder="1"/>
    <xf numFmtId="166" fontId="0" fillId="0" borderId="12" xfId="2" applyNumberFormat="1" applyFont="1" applyBorder="1"/>
    <xf numFmtId="0" fontId="1" fillId="0" borderId="4" xfId="0" applyFont="1" applyBorder="1"/>
    <xf numFmtId="0" fontId="1" fillId="0" borderId="9" xfId="0" applyFont="1" applyBorder="1"/>
    <xf numFmtId="166" fontId="0" fillId="0" borderId="18" xfId="2" applyNumberFormat="1" applyFont="1" applyBorder="1"/>
    <xf numFmtId="0" fontId="1" fillId="0" borderId="15" xfId="0" applyFont="1" applyBorder="1"/>
    <xf numFmtId="0" fontId="0" fillId="0" borderId="16" xfId="0" applyBorder="1"/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3" fontId="0" fillId="0" borderId="21" xfId="0" applyNumberFormat="1" applyBorder="1"/>
    <xf numFmtId="43" fontId="0" fillId="0" borderId="0" xfId="0" applyNumberFormat="1" applyBorder="1"/>
    <xf numFmtId="11" fontId="0" fillId="0" borderId="21" xfId="0" applyNumberFormat="1" applyBorder="1"/>
    <xf numFmtId="167" fontId="0" fillId="0" borderId="0" xfId="0" applyNumberFormat="1"/>
    <xf numFmtId="164" fontId="0" fillId="0" borderId="21" xfId="0" applyNumberFormat="1" applyBorder="1"/>
    <xf numFmtId="166" fontId="0" fillId="0" borderId="21" xfId="2" applyNumberFormat="1" applyFont="1" applyBorder="1"/>
    <xf numFmtId="2" fontId="0" fillId="0" borderId="21" xfId="0" applyNumberFormat="1" applyBorder="1"/>
    <xf numFmtId="165" fontId="0" fillId="0" borderId="21" xfId="0" applyNumberFormat="1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8" xfId="0" applyBorder="1"/>
    <xf numFmtId="0" fontId="0" fillId="0" borderId="3" xfId="0" applyBorder="1"/>
    <xf numFmtId="166" fontId="0" fillId="0" borderId="41" xfId="2" applyNumberFormat="1" applyFont="1" applyBorder="1"/>
    <xf numFmtId="166" fontId="0" fillId="0" borderId="13" xfId="2" applyNumberFormat="1" applyFont="1" applyBorder="1"/>
    <xf numFmtId="166" fontId="0" fillId="0" borderId="42" xfId="2" applyNumberFormat="1" applyFont="1" applyBorder="1"/>
    <xf numFmtId="166" fontId="0" fillId="0" borderId="7" xfId="2" applyNumberFormat="1" applyFont="1" applyBorder="1"/>
    <xf numFmtId="166" fontId="0" fillId="0" borderId="43" xfId="2" applyNumberFormat="1" applyFont="1" applyBorder="1"/>
    <xf numFmtId="166" fontId="0" fillId="0" borderId="10" xfId="2" applyNumberFormat="1" applyFont="1" applyBorder="1"/>
    <xf numFmtId="166" fontId="0" fillId="0" borderId="17" xfId="2" applyNumberFormat="1" applyFont="1" applyBorder="1"/>
    <xf numFmtId="166" fontId="0" fillId="0" borderId="19" xfId="2" applyNumberFormat="1" applyFont="1" applyBorder="1"/>
    <xf numFmtId="171" fontId="0" fillId="0" borderId="8" xfId="0" applyNumberFormat="1" applyBorder="1"/>
    <xf numFmtId="171" fontId="0" fillId="0" borderId="9" xfId="0" applyNumberFormat="1" applyBorder="1"/>
    <xf numFmtId="171" fontId="0" fillId="0" borderId="10" xfId="0" applyNumberForma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0" xfId="0" applyNumberFormat="1" applyBorder="1"/>
    <xf numFmtId="167" fontId="0" fillId="0" borderId="4" xfId="0" applyNumberFormat="1" applyBorder="1"/>
    <xf numFmtId="167" fontId="0" fillId="0" borderId="5" xfId="0" applyNumberFormat="1" applyBorder="1"/>
    <xf numFmtId="167" fontId="0" fillId="0" borderId="9" xfId="0" applyNumberFormat="1" applyBorder="1"/>
    <xf numFmtId="167" fontId="0" fillId="0" borderId="10" xfId="0" applyNumberFormat="1" applyBorder="1"/>
    <xf numFmtId="167" fontId="0" fillId="0" borderId="3" xfId="0" applyNumberFormat="1" applyBorder="1"/>
    <xf numFmtId="167" fontId="0" fillId="0" borderId="8" xfId="0" applyNumberFormat="1" applyBorder="1"/>
    <xf numFmtId="168" fontId="0" fillId="0" borderId="4" xfId="1" applyNumberFormat="1" applyFont="1" applyBorder="1"/>
    <xf numFmtId="168" fontId="0" fillId="0" borderId="5" xfId="1" applyNumberFormat="1" applyFont="1" applyBorder="1"/>
    <xf numFmtId="168" fontId="0" fillId="0" borderId="9" xfId="0" applyNumberFormat="1" applyBorder="1"/>
    <xf numFmtId="168" fontId="0" fillId="0" borderId="10" xfId="0" applyNumberFormat="1" applyBorder="1"/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0" fillId="0" borderId="24" xfId="0" applyBorder="1"/>
    <xf numFmtId="0" fontId="0" fillId="0" borderId="2" xfId="0" applyBorder="1" applyAlignment="1">
      <alignment horizontal="center"/>
    </xf>
    <xf numFmtId="166" fontId="1" fillId="0" borderId="2" xfId="2" applyNumberFormat="1" applyFont="1" applyBorder="1"/>
    <xf numFmtId="0" fontId="1" fillId="0" borderId="2" xfId="0" applyFont="1" applyFill="1" applyBorder="1"/>
    <xf numFmtId="1" fontId="1" fillId="0" borderId="2" xfId="0" applyNumberFormat="1" applyFont="1" applyFill="1" applyBorder="1"/>
    <xf numFmtId="0" fontId="0" fillId="0" borderId="4" xfId="0" applyBorder="1" applyAlignment="1">
      <alignment horizontal="center"/>
    </xf>
    <xf numFmtId="166" fontId="1" fillId="0" borderId="4" xfId="2" applyNumberFormat="1" applyFont="1" applyBorder="1"/>
    <xf numFmtId="0" fontId="4" fillId="0" borderId="7" xfId="3" applyBorder="1"/>
    <xf numFmtId="0" fontId="0" fillId="0" borderId="9" xfId="0" applyBorder="1" applyAlignment="1">
      <alignment horizontal="center"/>
    </xf>
    <xf numFmtId="0" fontId="1" fillId="0" borderId="9" xfId="0" applyFont="1" applyFill="1" applyBorder="1"/>
    <xf numFmtId="166" fontId="1" fillId="0" borderId="9" xfId="2" applyNumberFormat="1" applyFont="1" applyBorder="1"/>
    <xf numFmtId="0" fontId="0" fillId="0" borderId="15" xfId="0" applyBorder="1" applyAlignment="1">
      <alignment horizontal="center"/>
    </xf>
    <xf numFmtId="0" fontId="1" fillId="0" borderId="4" xfId="0" applyFont="1" applyFill="1" applyBorder="1"/>
    <xf numFmtId="11" fontId="1" fillId="0" borderId="9" xfId="0" applyNumberFormat="1" applyFont="1" applyBorder="1"/>
    <xf numFmtId="1" fontId="1" fillId="0" borderId="4" xfId="0" applyNumberFormat="1" applyFont="1" applyFill="1" applyBorder="1"/>
    <xf numFmtId="0" fontId="4" fillId="0" borderId="5" xfId="3" applyBorder="1"/>
    <xf numFmtId="11" fontId="0" fillId="0" borderId="12" xfId="0" applyNumberFormat="1" applyFill="1" applyBorder="1"/>
    <xf numFmtId="1" fontId="0" fillId="0" borderId="12" xfId="0" applyNumberFormat="1" applyFill="1" applyBorder="1"/>
    <xf numFmtId="166" fontId="0" fillId="0" borderId="12" xfId="2" applyNumberFormat="1" applyFont="1" applyFill="1" applyBorder="1"/>
    <xf numFmtId="11" fontId="0" fillId="0" borderId="34" xfId="0" applyNumberFormat="1" applyFill="1" applyBorder="1"/>
    <xf numFmtId="11" fontId="0" fillId="0" borderId="2" xfId="0" applyNumberFormat="1" applyFill="1" applyBorder="1"/>
    <xf numFmtId="1" fontId="0" fillId="0" borderId="2" xfId="0" applyNumberFormat="1" applyFill="1" applyBorder="1"/>
    <xf numFmtId="166" fontId="0" fillId="0" borderId="2" xfId="2" applyNumberFormat="1" applyFont="1" applyFill="1" applyBorder="1"/>
    <xf numFmtId="11" fontId="0" fillId="0" borderId="35" xfId="0" applyNumberFormat="1" applyFill="1" applyBorder="1"/>
    <xf numFmtId="0" fontId="0" fillId="0" borderId="9" xfId="0" applyFill="1" applyBorder="1"/>
    <xf numFmtId="11" fontId="1" fillId="0" borderId="36" xfId="0" applyNumberFormat="1" applyFont="1" applyFill="1" applyBorder="1"/>
    <xf numFmtId="0" fontId="1" fillId="0" borderId="15" xfId="0" applyFont="1" applyFill="1" applyBorder="1"/>
    <xf numFmtId="11" fontId="0" fillId="0" borderId="15" xfId="0" applyNumberFormat="1" applyFill="1" applyBorder="1"/>
    <xf numFmtId="0" fontId="0" fillId="0" borderId="15" xfId="0" applyFill="1" applyBorder="1"/>
    <xf numFmtId="166" fontId="0" fillId="0" borderId="15" xfId="2" applyNumberFormat="1" applyFont="1" applyFill="1" applyBorder="1"/>
    <xf numFmtId="11" fontId="1" fillId="0" borderId="31" xfId="0" applyNumberFormat="1" applyFont="1" applyFill="1" applyBorder="1"/>
    <xf numFmtId="166" fontId="1" fillId="0" borderId="38" xfId="2" applyNumberFormat="1" applyFont="1" applyFill="1" applyBorder="1" applyAlignment="1">
      <alignment horizontal="center"/>
    </xf>
    <xf numFmtId="0" fontId="1" fillId="0" borderId="18" xfId="0" applyFont="1" applyFill="1" applyBorder="1"/>
    <xf numFmtId="11" fontId="0" fillId="0" borderId="18" xfId="0" applyNumberFormat="1" applyFill="1" applyBorder="1"/>
    <xf numFmtId="0" fontId="0" fillId="0" borderId="18" xfId="0" applyFill="1" applyBorder="1"/>
    <xf numFmtId="166" fontId="0" fillId="0" borderId="18" xfId="2" applyNumberFormat="1" applyFont="1" applyFill="1" applyBorder="1"/>
    <xf numFmtId="11" fontId="1" fillId="0" borderId="37" xfId="0" applyNumberFormat="1" applyFont="1" applyFill="1" applyBorder="1"/>
    <xf numFmtId="166" fontId="1" fillId="0" borderId="39" xfId="2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0" fillId="0" borderId="0" xfId="0" applyNumberFormat="1" applyBorder="1"/>
    <xf numFmtId="0" fontId="0" fillId="0" borderId="32" xfId="0" quotePrefix="1" applyBorder="1"/>
    <xf numFmtId="0" fontId="0" fillId="0" borderId="32" xfId="0" applyBorder="1"/>
    <xf numFmtId="169" fontId="0" fillId="0" borderId="0" xfId="1" applyNumberFormat="1" applyFont="1" applyBorder="1"/>
    <xf numFmtId="170" fontId="0" fillId="0" borderId="0" xfId="1" applyNumberFormat="1" applyFont="1" applyBorder="1"/>
    <xf numFmtId="11" fontId="0" fillId="0" borderId="30" xfId="0" applyNumberFormat="1" applyBorder="1"/>
    <xf numFmtId="0" fontId="1" fillId="2" borderId="27" xfId="0" applyFont="1" applyFill="1" applyBorder="1" applyAlignment="1">
      <alignment horizontal="center"/>
    </xf>
    <xf numFmtId="0" fontId="0" fillId="2" borderId="0" xfId="0" applyFill="1" applyBorder="1"/>
    <xf numFmtId="0" fontId="0" fillId="2" borderId="32" xfId="0" applyFill="1" applyBorder="1"/>
    <xf numFmtId="0" fontId="0" fillId="2" borderId="50" xfId="0" applyFill="1" applyBorder="1"/>
    <xf numFmtId="0" fontId="0" fillId="2" borderId="1" xfId="0" applyFill="1" applyBorder="1"/>
    <xf numFmtId="0" fontId="0" fillId="2" borderId="33" xfId="0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5" fontId="1" fillId="0" borderId="2" xfId="0" applyNumberFormat="1" applyFont="1" applyBorder="1"/>
    <xf numFmtId="0" fontId="4" fillId="0" borderId="10" xfId="3" applyBorder="1"/>
    <xf numFmtId="165" fontId="1" fillId="0" borderId="9" xfId="0" applyNumberFormat="1" applyFont="1" applyBorder="1"/>
    <xf numFmtId="165" fontId="0" fillId="0" borderId="2" xfId="0" applyNumberFormat="1" applyBorder="1"/>
    <xf numFmtId="10" fontId="0" fillId="0" borderId="2" xfId="1" applyNumberFormat="1" applyFont="1" applyBorder="1"/>
    <xf numFmtId="172" fontId="0" fillId="0" borderId="2" xfId="1" applyNumberFormat="1" applyFont="1" applyBorder="1"/>
    <xf numFmtId="173" fontId="0" fillId="0" borderId="2" xfId="0" applyNumberFormat="1" applyBorder="1"/>
    <xf numFmtId="2" fontId="0" fillId="0" borderId="2" xfId="0" applyNumberFormat="1" applyBorder="1"/>
    <xf numFmtId="165" fontId="0" fillId="0" borderId="9" xfId="0" applyNumberFormat="1" applyBorder="1"/>
    <xf numFmtId="0" fontId="3" fillId="2" borderId="40" xfId="0" applyFont="1" applyFill="1" applyBorder="1" applyAlignment="1">
      <alignment horizontal="center" vertical="center" textRotation="90"/>
    </xf>
    <xf numFmtId="0" fontId="3" fillId="2" borderId="48" xfId="0" applyFont="1" applyFill="1" applyBorder="1" applyAlignment="1">
      <alignment horizontal="center" vertical="center" textRotation="90"/>
    </xf>
    <xf numFmtId="0" fontId="3" fillId="2" borderId="49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166" fontId="1" fillId="0" borderId="28" xfId="2" applyNumberFormat="1" applyFont="1" applyFill="1" applyBorder="1" applyAlignment="1"/>
    <xf numFmtId="166" fontId="1" fillId="0" borderId="29" xfId="2" applyNumberFormat="1" applyFont="1" applyFill="1" applyBorder="1" applyAlignment="1"/>
    <xf numFmtId="166" fontId="1" fillId="0" borderId="30" xfId="2" applyNumberFormat="1" applyFont="1" applyFill="1" applyBorder="1" applyAlignment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0" xfId="3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ubs.usgs.gov/fs/fs2-00/" TargetMode="External"/><Relationship Id="rId7" Type="http://schemas.openxmlformats.org/officeDocument/2006/relationships/hyperlink" Target="https://en.wikipedia.org/wiki/Atmosphere_of_Earth" TargetMode="External"/><Relationship Id="rId2" Type="http://schemas.openxmlformats.org/officeDocument/2006/relationships/hyperlink" Target="https://pubs.usgs.gov/fs/fs2-00/" TargetMode="External"/><Relationship Id="rId1" Type="http://schemas.openxmlformats.org/officeDocument/2006/relationships/hyperlink" Target="https://en.wikipedia.org/wiki/Climate_of_Antarctica" TargetMode="External"/><Relationship Id="rId6" Type="http://schemas.openxmlformats.org/officeDocument/2006/relationships/hyperlink" Target="https://water.usgs.gov/edu/watercycleoceans.html" TargetMode="External"/><Relationship Id="rId5" Type="http://schemas.openxmlformats.org/officeDocument/2006/relationships/hyperlink" Target="https://pubs.usgs.gov/fs/fs2-00/" TargetMode="External"/><Relationship Id="rId4" Type="http://schemas.openxmlformats.org/officeDocument/2006/relationships/hyperlink" Target="https://pubs.usgs.gov/fs/fs2-0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ture.com/articles/nature1618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climate.nasa.gov/news/2749/ramp-up-in-antarctic-ice-loss-speeds-sea-level-rise/?fbclid=IwAR2Vnkbxxa-NTU_v0lRUUGGDffMs4Q6BGvHX-KHzcHM7-q2B7IO59wCEiQ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B24CA-3152-FA4E-9B78-36A368D8A91D}">
  <dimension ref="A1:G24"/>
  <sheetViews>
    <sheetView tabSelected="1" workbookViewId="0">
      <selection activeCell="A2" sqref="A2:A24"/>
    </sheetView>
  </sheetViews>
  <sheetFormatPr baseColWidth="10" defaultColWidth="10.83203125" defaultRowHeight="16"/>
  <cols>
    <col min="2" max="2" width="14.5" customWidth="1"/>
    <col min="3" max="3" width="19.83203125" customWidth="1"/>
    <col min="4" max="4" width="21.5" customWidth="1"/>
    <col min="6" max="6" width="14.6640625" bestFit="1" customWidth="1"/>
    <col min="7" max="7" width="45.33203125" bestFit="1" customWidth="1"/>
  </cols>
  <sheetData>
    <row r="1" spans="1:7" ht="17" thickBot="1"/>
    <row r="2" spans="1:7" ht="16" customHeight="1">
      <c r="A2" s="143" t="s">
        <v>15</v>
      </c>
      <c r="B2" s="146" t="s">
        <v>16</v>
      </c>
      <c r="C2" s="82" t="s">
        <v>17</v>
      </c>
      <c r="D2" s="82" t="s">
        <v>18</v>
      </c>
      <c r="E2" s="83">
        <v>2108</v>
      </c>
      <c r="F2" s="26" t="s">
        <v>29</v>
      </c>
      <c r="G2" s="10"/>
    </row>
    <row r="3" spans="1:7">
      <c r="A3" s="144"/>
      <c r="B3" s="147"/>
      <c r="C3" s="78" t="s">
        <v>21</v>
      </c>
      <c r="D3" s="78" t="s">
        <v>19</v>
      </c>
      <c r="E3" s="79">
        <v>3850</v>
      </c>
      <c r="F3" s="23" t="s">
        <v>29</v>
      </c>
      <c r="G3" s="8"/>
    </row>
    <row r="4" spans="1:7" ht="17" thickBot="1">
      <c r="A4" s="144"/>
      <c r="B4" s="148"/>
      <c r="C4" s="85" t="s">
        <v>24</v>
      </c>
      <c r="D4" s="85" t="s">
        <v>25</v>
      </c>
      <c r="E4" s="87">
        <v>1005</v>
      </c>
      <c r="F4" s="27" t="s">
        <v>29</v>
      </c>
      <c r="G4" s="11"/>
    </row>
    <row r="5" spans="1:7" ht="17" thickBot="1">
      <c r="A5" s="144"/>
      <c r="B5" s="14" t="s">
        <v>20</v>
      </c>
      <c r="C5" s="88" t="s">
        <v>17</v>
      </c>
      <c r="D5" s="88" t="s">
        <v>26</v>
      </c>
      <c r="E5" s="9">
        <v>333600</v>
      </c>
      <c r="F5" s="29" t="s">
        <v>30</v>
      </c>
      <c r="G5" s="30"/>
    </row>
    <row r="6" spans="1:7">
      <c r="A6" s="144"/>
      <c r="B6" s="146" t="s">
        <v>9</v>
      </c>
      <c r="C6" s="149" t="s">
        <v>1</v>
      </c>
      <c r="D6" s="149" t="s">
        <v>11</v>
      </c>
      <c r="E6" s="12">
        <v>2620000</v>
      </c>
      <c r="F6" s="26" t="s">
        <v>31</v>
      </c>
      <c r="G6" s="92" t="s">
        <v>107</v>
      </c>
    </row>
    <row r="7" spans="1:7">
      <c r="A7" s="144"/>
      <c r="B7" s="147"/>
      <c r="C7" s="150"/>
      <c r="D7" s="150"/>
      <c r="E7" s="134">
        <f>6.55*3.281</f>
        <v>21.490549999999999</v>
      </c>
      <c r="F7" s="23" t="s">
        <v>32</v>
      </c>
      <c r="G7" s="84" t="s">
        <v>107</v>
      </c>
    </row>
    <row r="8" spans="1:7">
      <c r="A8" s="144"/>
      <c r="B8" s="147"/>
      <c r="C8" s="150"/>
      <c r="D8" s="150" t="s">
        <v>22</v>
      </c>
      <c r="E8" s="3">
        <v>29528000</v>
      </c>
      <c r="F8" s="23" t="s">
        <v>31</v>
      </c>
      <c r="G8" s="84" t="s">
        <v>107</v>
      </c>
    </row>
    <row r="9" spans="1:7">
      <c r="A9" s="144"/>
      <c r="B9" s="147"/>
      <c r="C9" s="150"/>
      <c r="D9" s="150"/>
      <c r="E9" s="134">
        <f>73.32*3.281</f>
        <v>240.56291999999999</v>
      </c>
      <c r="F9" s="23" t="s">
        <v>32</v>
      </c>
      <c r="G9" s="84" t="s">
        <v>107</v>
      </c>
    </row>
    <row r="10" spans="1:7">
      <c r="A10" s="144"/>
      <c r="B10" s="147"/>
      <c r="C10" s="150"/>
      <c r="D10" s="150" t="s">
        <v>23</v>
      </c>
      <c r="E10" s="3">
        <f>E6+E8</f>
        <v>32148000</v>
      </c>
      <c r="F10" s="23" t="s">
        <v>31</v>
      </c>
      <c r="G10" s="84" t="s">
        <v>107</v>
      </c>
    </row>
    <row r="11" spans="1:7" ht="17" thickBot="1">
      <c r="A11" s="144"/>
      <c r="B11" s="148"/>
      <c r="C11" s="151"/>
      <c r="D11" s="151"/>
      <c r="E11" s="136">
        <f>E7+E9</f>
        <v>262.05347</v>
      </c>
      <c r="F11" s="27" t="s">
        <v>32</v>
      </c>
      <c r="G11" s="135" t="s">
        <v>107</v>
      </c>
    </row>
    <row r="12" spans="1:7" ht="17" thickBot="1">
      <c r="A12" s="144"/>
      <c r="B12" s="14" t="s">
        <v>12</v>
      </c>
      <c r="C12" s="88" t="s">
        <v>1</v>
      </c>
      <c r="D12" s="7"/>
      <c r="E12" s="29">
        <f>0.9167*1000000000000</f>
        <v>916700000000</v>
      </c>
      <c r="F12" s="29" t="s">
        <v>33</v>
      </c>
      <c r="G12" s="30"/>
    </row>
    <row r="13" spans="1:7">
      <c r="A13" s="144"/>
      <c r="B13" s="146" t="s">
        <v>10</v>
      </c>
      <c r="C13" s="149" t="s">
        <v>1</v>
      </c>
      <c r="D13" s="82" t="s">
        <v>11</v>
      </c>
      <c r="E13" s="12">
        <f>E12*E6</f>
        <v>2.401754E+18</v>
      </c>
      <c r="F13" s="89" t="s">
        <v>0</v>
      </c>
      <c r="G13" s="92" t="s">
        <v>107</v>
      </c>
    </row>
    <row r="14" spans="1:7">
      <c r="A14" s="144"/>
      <c r="B14" s="147"/>
      <c r="C14" s="150"/>
      <c r="D14" s="78" t="s">
        <v>22</v>
      </c>
      <c r="E14" s="3">
        <f>E12*E8</f>
        <v>2.70683176E+19</v>
      </c>
      <c r="F14" s="80" t="s">
        <v>0</v>
      </c>
      <c r="G14" s="84" t="s">
        <v>107</v>
      </c>
    </row>
    <row r="15" spans="1:7">
      <c r="A15" s="144"/>
      <c r="B15" s="147"/>
      <c r="C15" s="150"/>
      <c r="D15" s="78" t="s">
        <v>23</v>
      </c>
      <c r="E15" s="3">
        <f>E12*E10</f>
        <v>2.94700716E+19</v>
      </c>
      <c r="F15" s="80" t="s">
        <v>0</v>
      </c>
      <c r="G15" s="84" t="s">
        <v>107</v>
      </c>
    </row>
    <row r="16" spans="1:7">
      <c r="A16" s="144"/>
      <c r="B16" s="147"/>
      <c r="C16" s="78" t="s">
        <v>2</v>
      </c>
      <c r="D16" s="78" t="s">
        <v>14</v>
      </c>
      <c r="E16" s="3">
        <v>1.338E+21</v>
      </c>
      <c r="F16" s="80" t="s">
        <v>0</v>
      </c>
      <c r="G16" s="84" t="s">
        <v>108</v>
      </c>
    </row>
    <row r="17" spans="1:7">
      <c r="A17" s="144"/>
      <c r="B17" s="147"/>
      <c r="C17" s="78" t="s">
        <v>3</v>
      </c>
      <c r="D17" s="78" t="s">
        <v>13</v>
      </c>
      <c r="E17" s="3">
        <v>5.15E+18</v>
      </c>
      <c r="F17" s="80" t="s">
        <v>0</v>
      </c>
      <c r="G17" s="84" t="s">
        <v>109</v>
      </c>
    </row>
    <row r="18" spans="1:7">
      <c r="A18" s="144"/>
      <c r="B18" s="147"/>
      <c r="C18" s="78" t="s">
        <v>3</v>
      </c>
      <c r="D18" s="78" t="s">
        <v>34</v>
      </c>
      <c r="E18" s="23">
        <v>35</v>
      </c>
      <c r="F18" s="80" t="s">
        <v>35</v>
      </c>
      <c r="G18" s="8" t="s">
        <v>46</v>
      </c>
    </row>
    <row r="19" spans="1:7" ht="17" thickBot="1">
      <c r="A19" s="144"/>
      <c r="B19" s="148"/>
      <c r="C19" s="85" t="s">
        <v>3</v>
      </c>
      <c r="D19" s="85" t="s">
        <v>28</v>
      </c>
      <c r="E19" s="90">
        <f>E17*E18/100</f>
        <v>1.8025E+18</v>
      </c>
      <c r="F19" s="86" t="s">
        <v>0</v>
      </c>
      <c r="G19" s="11" t="s">
        <v>45</v>
      </c>
    </row>
    <row r="20" spans="1:7">
      <c r="A20" s="144"/>
      <c r="B20" s="146" t="s">
        <v>36</v>
      </c>
      <c r="C20" s="82" t="s">
        <v>37</v>
      </c>
      <c r="D20" s="82" t="s">
        <v>11</v>
      </c>
      <c r="E20" s="91">
        <v>-25</v>
      </c>
      <c r="F20" s="89" t="s">
        <v>8</v>
      </c>
      <c r="G20" s="92" t="s">
        <v>110</v>
      </c>
    </row>
    <row r="21" spans="1:7">
      <c r="A21" s="144"/>
      <c r="B21" s="147"/>
      <c r="C21" s="78" t="s">
        <v>37</v>
      </c>
      <c r="D21" s="78" t="s">
        <v>22</v>
      </c>
      <c r="E21" s="81">
        <v>-57</v>
      </c>
      <c r="F21" s="80" t="s">
        <v>8</v>
      </c>
      <c r="G21" s="84" t="s">
        <v>38</v>
      </c>
    </row>
    <row r="22" spans="1:7">
      <c r="A22" s="144"/>
      <c r="B22" s="147"/>
      <c r="C22" s="78" t="s">
        <v>39</v>
      </c>
      <c r="D22" s="78" t="s">
        <v>40</v>
      </c>
      <c r="E22" s="23">
        <v>16.5</v>
      </c>
      <c r="F22" s="80" t="s">
        <v>8</v>
      </c>
      <c r="G22" s="8"/>
    </row>
    <row r="23" spans="1:7">
      <c r="A23" s="144"/>
      <c r="B23" s="147"/>
      <c r="C23" s="78" t="s">
        <v>39</v>
      </c>
      <c r="D23" s="78" t="s">
        <v>41</v>
      </c>
      <c r="E23" s="23">
        <v>8</v>
      </c>
      <c r="F23" s="80" t="s">
        <v>8</v>
      </c>
      <c r="G23" s="8" t="s">
        <v>44</v>
      </c>
    </row>
    <row r="24" spans="1:7" ht="17" thickBot="1">
      <c r="A24" s="145"/>
      <c r="B24" s="148"/>
      <c r="C24" s="85" t="s">
        <v>42</v>
      </c>
      <c r="D24" s="85" t="s">
        <v>43</v>
      </c>
      <c r="E24" s="27">
        <v>3</v>
      </c>
      <c r="F24" s="86" t="s">
        <v>8</v>
      </c>
      <c r="G24" s="11"/>
    </row>
  </sheetData>
  <mergeCells count="10">
    <mergeCell ref="C6:C11"/>
    <mergeCell ref="D6:D7"/>
    <mergeCell ref="D8:D9"/>
    <mergeCell ref="D10:D11"/>
    <mergeCell ref="C13:C15"/>
    <mergeCell ref="A2:A24"/>
    <mergeCell ref="B20:B24"/>
    <mergeCell ref="B2:B4"/>
    <mergeCell ref="B6:B11"/>
    <mergeCell ref="B13:B19"/>
  </mergeCells>
  <hyperlinks>
    <hyperlink ref="G21" r:id="rId1" xr:uid="{25155C20-AB39-F440-BDCC-5B3306273942}"/>
    <hyperlink ref="G13" r:id="rId2" xr:uid="{C35ED6AA-4DE9-5F48-A4F8-6E823C9AD9EB}"/>
    <hyperlink ref="G6:G11" r:id="rId3" display="https://pubs.usgs.gov/fs/fs2-00/" xr:uid="{9E71715E-67DA-FE49-8A55-CE11E0C186BC}"/>
    <hyperlink ref="G14" r:id="rId4" xr:uid="{5E06347F-9DE9-3044-A3AD-EFE7D7B3F9D7}"/>
    <hyperlink ref="G15" r:id="rId5" xr:uid="{5F932A4A-BA49-9C4A-B547-E41468AC2653}"/>
    <hyperlink ref="G16" r:id="rId6" xr:uid="{86539F74-4D22-8B47-AB4B-8B0601F37B4F}"/>
    <hyperlink ref="G17" r:id="rId7" xr:uid="{D1D48C25-875D-DC46-85F7-98D9B27BF9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A69B-9751-8D45-9F22-C9EFC31F247F}">
  <dimension ref="A1:I7"/>
  <sheetViews>
    <sheetView workbookViewId="0">
      <selection activeCell="A3" sqref="A3:A5"/>
    </sheetView>
  </sheetViews>
  <sheetFormatPr baseColWidth="10" defaultColWidth="10.83203125" defaultRowHeight="16"/>
  <cols>
    <col min="1" max="1" width="19.1640625" customWidth="1"/>
    <col min="2" max="2" width="12.5" bestFit="1" customWidth="1"/>
    <col min="5" max="5" width="20.1640625" customWidth="1"/>
    <col min="6" max="6" width="18.6640625" bestFit="1" customWidth="1"/>
    <col min="7" max="7" width="15.6640625" customWidth="1"/>
    <col min="8" max="8" width="14.6640625" customWidth="1"/>
    <col min="9" max="9" width="15.6640625" customWidth="1"/>
  </cols>
  <sheetData>
    <row r="1" spans="1:9" ht="17" thickBot="1"/>
    <row r="2" spans="1:9" ht="17" thickBot="1">
      <c r="A2" s="21"/>
      <c r="C2" s="14" t="s">
        <v>4</v>
      </c>
      <c r="D2" s="15" t="s">
        <v>49</v>
      </c>
      <c r="E2" s="15" t="s">
        <v>48</v>
      </c>
      <c r="F2" s="15" t="s">
        <v>51</v>
      </c>
      <c r="G2" s="16" t="s">
        <v>5</v>
      </c>
      <c r="H2" s="32" t="s">
        <v>55</v>
      </c>
      <c r="I2" s="18"/>
    </row>
    <row r="3" spans="1:9">
      <c r="A3" s="152" t="s">
        <v>1</v>
      </c>
      <c r="B3" s="89" t="s">
        <v>7</v>
      </c>
      <c r="C3" s="93">
        <f>Constants!E13</f>
        <v>2.401754E+18</v>
      </c>
      <c r="D3" s="94">
        <f>-Constants!E20</f>
        <v>25</v>
      </c>
      <c r="E3" s="95">
        <f>Constants!E2</f>
        <v>2108</v>
      </c>
      <c r="F3" s="93">
        <f>Constants!E5</f>
        <v>333600</v>
      </c>
      <c r="G3" s="96">
        <f>C3*E3*D3+C3*F3</f>
        <v>9.2779757019999996E+23</v>
      </c>
      <c r="H3" s="160">
        <f>G5/G6</f>
        <v>911.54553799004987</v>
      </c>
      <c r="I3" s="155" t="s">
        <v>47</v>
      </c>
    </row>
    <row r="4" spans="1:9">
      <c r="A4" s="153"/>
      <c r="B4" s="80" t="s">
        <v>6</v>
      </c>
      <c r="C4" s="97">
        <f>Constants!E14</f>
        <v>2.70683176E+19</v>
      </c>
      <c r="D4" s="98">
        <f>-Constants!E21</f>
        <v>57</v>
      </c>
      <c r="E4" s="99">
        <f>Constants!E2</f>
        <v>2108</v>
      </c>
      <c r="F4" s="97">
        <f>Constants!E5</f>
        <v>333600</v>
      </c>
      <c r="G4" s="100">
        <f>C4*E4*D4+C4*F4</f>
        <v>1.2282411520905601E+25</v>
      </c>
      <c r="H4" s="161"/>
      <c r="I4" s="156"/>
    </row>
    <row r="5" spans="1:9" ht="17" thickBot="1">
      <c r="A5" s="154"/>
      <c r="B5" s="86" t="s">
        <v>52</v>
      </c>
      <c r="C5" s="101"/>
      <c r="D5" s="101"/>
      <c r="E5" s="101"/>
      <c r="F5" s="101"/>
      <c r="G5" s="102">
        <f>G3+G4</f>
        <v>1.3210209091105602E+25</v>
      </c>
      <c r="H5" s="162"/>
      <c r="I5" s="157"/>
    </row>
    <row r="6" spans="1:9" ht="17" thickBot="1">
      <c r="A6" s="132" t="s">
        <v>3</v>
      </c>
      <c r="B6" s="103" t="s">
        <v>27</v>
      </c>
      <c r="C6" s="104">
        <f>Constants!E19</f>
        <v>1.8025E+18</v>
      </c>
      <c r="D6" s="105">
        <f>Constants!E23</f>
        <v>8</v>
      </c>
      <c r="E6" s="106">
        <f>Constants!E4</f>
        <v>1005</v>
      </c>
      <c r="F6" s="105"/>
      <c r="G6" s="107">
        <f>C6*D6*E6</f>
        <v>1.44921E+22</v>
      </c>
      <c r="H6" s="108">
        <f>G6/G6</f>
        <v>1</v>
      </c>
      <c r="I6" s="158" t="s">
        <v>53</v>
      </c>
    </row>
    <row r="7" spans="1:9" ht="17" thickBot="1">
      <c r="A7" s="133" t="s">
        <v>2</v>
      </c>
      <c r="B7" s="109" t="s">
        <v>54</v>
      </c>
      <c r="C7" s="110">
        <f>Constants!E16</f>
        <v>1.338E+21</v>
      </c>
      <c r="D7" s="111">
        <f>Constants!E24</f>
        <v>3</v>
      </c>
      <c r="E7" s="112">
        <f>Constants!E3</f>
        <v>3850</v>
      </c>
      <c r="F7" s="111"/>
      <c r="G7" s="113">
        <f>C7*D7*E7</f>
        <v>1.5453900000000001E+25</v>
      </c>
      <c r="H7" s="114">
        <f>G7/G6</f>
        <v>1066.3671931604115</v>
      </c>
      <c r="I7" s="159"/>
    </row>
  </sheetData>
  <mergeCells count="4">
    <mergeCell ref="A3:A5"/>
    <mergeCell ref="I3:I5"/>
    <mergeCell ref="I6:I7"/>
    <mergeCell ref="H3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9A0D-6035-164E-AF32-E7A3DD353E09}">
  <dimension ref="B1:J26"/>
  <sheetViews>
    <sheetView workbookViewId="0">
      <selection activeCell="B1" sqref="B1:G1"/>
    </sheetView>
  </sheetViews>
  <sheetFormatPr baseColWidth="10" defaultColWidth="10.83203125" defaultRowHeight="16"/>
  <cols>
    <col min="1" max="1" width="1.83203125" customWidth="1"/>
    <col min="5" max="5" width="11.1640625" bestFit="1" customWidth="1"/>
    <col min="8" max="8" width="34.33203125" customWidth="1"/>
    <col min="9" max="9" width="23.1640625" bestFit="1" customWidth="1"/>
  </cols>
  <sheetData>
    <row r="1" spans="2:10" ht="24">
      <c r="B1" s="173" t="s">
        <v>88</v>
      </c>
      <c r="C1" s="173"/>
      <c r="D1" s="173"/>
      <c r="E1" s="173"/>
      <c r="F1" s="173"/>
      <c r="G1" s="173"/>
    </row>
    <row r="2" spans="2:10">
      <c r="B2" s="22"/>
      <c r="E2" s="42"/>
      <c r="F2" s="20"/>
    </row>
    <row r="3" spans="2:10">
      <c r="B3" s="42" t="s">
        <v>94</v>
      </c>
      <c r="C3" s="172" t="s">
        <v>95</v>
      </c>
      <c r="D3" s="172"/>
      <c r="E3" s="172"/>
      <c r="F3" s="172"/>
      <c r="G3" s="172"/>
    </row>
    <row r="4" spans="2:10" ht="17" thickBot="1">
      <c r="B4" s="22"/>
      <c r="E4" s="42"/>
      <c r="F4" s="20"/>
    </row>
    <row r="5" spans="2:10" ht="17" thickBot="1">
      <c r="E5" s="174" t="s">
        <v>101</v>
      </c>
      <c r="F5" s="175"/>
      <c r="G5" s="176"/>
    </row>
    <row r="6" spans="2:10" ht="17" thickBot="1">
      <c r="B6" s="14" t="s">
        <v>102</v>
      </c>
      <c r="C6" s="15" t="s">
        <v>103</v>
      </c>
      <c r="D6" s="31" t="s">
        <v>81</v>
      </c>
      <c r="E6" s="14" t="s">
        <v>82</v>
      </c>
      <c r="F6" s="15" t="s">
        <v>83</v>
      </c>
      <c r="G6" s="16" t="s">
        <v>84</v>
      </c>
      <c r="I6" s="41"/>
      <c r="J6" s="1"/>
    </row>
    <row r="7" spans="2:10">
      <c r="B7" s="46">
        <v>1900</v>
      </c>
      <c r="C7" s="6">
        <v>1983</v>
      </c>
      <c r="D7" s="10">
        <f>C7-B7+1</f>
        <v>84</v>
      </c>
      <c r="E7" s="47">
        <f>(75.1-29.4)*D7</f>
        <v>3838.7999999999997</v>
      </c>
      <c r="F7" s="25">
        <f>75.1*D7</f>
        <v>6308.4</v>
      </c>
      <c r="G7" s="48">
        <f>(75.1+29.4)*D7</f>
        <v>8778</v>
      </c>
    </row>
    <row r="8" spans="2:10">
      <c r="B8" s="4">
        <v>1983</v>
      </c>
      <c r="C8" s="2">
        <v>2003</v>
      </c>
      <c r="D8" s="8">
        <f>C8-B8</f>
        <v>20</v>
      </c>
      <c r="E8" s="49">
        <f>(73.8-40.5)*D8</f>
        <v>666</v>
      </c>
      <c r="F8" s="24">
        <f>73.8*D8</f>
        <v>1476</v>
      </c>
      <c r="G8" s="50">
        <f>(73.8+40.5)*D8</f>
        <v>2286</v>
      </c>
    </row>
    <row r="9" spans="2:10" ht="17" thickBot="1">
      <c r="B9" s="45">
        <v>2003</v>
      </c>
      <c r="C9" s="5">
        <v>2010</v>
      </c>
      <c r="D9" s="11">
        <f>C9-B9</f>
        <v>7</v>
      </c>
      <c r="E9" s="51">
        <f>(186.4-18.9)*D9</f>
        <v>1172.5</v>
      </c>
      <c r="F9" s="13">
        <f>186.4*D9</f>
        <v>1304.8</v>
      </c>
      <c r="G9" s="52">
        <f>(186.4+18.9)*D9</f>
        <v>1437.1000000000001</v>
      </c>
    </row>
    <row r="10" spans="2:10" ht="17" thickBot="1">
      <c r="E10" s="53">
        <f>SUM(E7:E9)</f>
        <v>5677.2999999999993</v>
      </c>
      <c r="F10" s="28">
        <f t="shared" ref="F10:G10" si="0">SUM(F7:F9)</f>
        <v>9089.1999999999989</v>
      </c>
      <c r="G10" s="54">
        <f t="shared" si="0"/>
        <v>12501.1</v>
      </c>
    </row>
    <row r="11" spans="2:10" ht="17" thickBot="1">
      <c r="E11" s="17"/>
      <c r="F11" s="17"/>
      <c r="G11" s="17"/>
    </row>
    <row r="12" spans="2:10" ht="17" thickBot="1">
      <c r="E12" s="179" t="s">
        <v>101</v>
      </c>
      <c r="F12" s="180"/>
      <c r="G12" s="181"/>
    </row>
    <row r="13" spans="2:10">
      <c r="E13" s="58" t="s">
        <v>85</v>
      </c>
      <c r="F13" s="44" t="s">
        <v>86</v>
      </c>
      <c r="G13" s="59" t="s">
        <v>87</v>
      </c>
    </row>
    <row r="14" spans="2:10" ht="17" thickBot="1">
      <c r="E14" s="55">
        <f>E10*1000000000000</f>
        <v>5677299999999999</v>
      </c>
      <c r="F14" s="56">
        <f t="shared" ref="F14:G14" si="1">F10*1000000000000</f>
        <v>9089199999999998</v>
      </c>
      <c r="G14" s="57">
        <f t="shared" si="1"/>
        <v>1.25011E+16</v>
      </c>
    </row>
    <row r="15" spans="2:10" ht="17" thickBot="1">
      <c r="E15" s="60"/>
      <c r="F15" s="60"/>
      <c r="G15" s="60"/>
    </row>
    <row r="16" spans="2:10" ht="17" thickBot="1">
      <c r="E16" s="14" t="s">
        <v>85</v>
      </c>
      <c r="F16" s="15" t="s">
        <v>86</v>
      </c>
      <c r="G16" s="16" t="s">
        <v>87</v>
      </c>
    </row>
    <row r="17" spans="2:8">
      <c r="B17" s="166" t="s">
        <v>89</v>
      </c>
      <c r="C17" s="167"/>
      <c r="D17" s="168"/>
      <c r="E17" s="65">
        <f>Constants!E13</f>
        <v>2.401754E+18</v>
      </c>
      <c r="F17" s="61">
        <f>Constants!E13</f>
        <v>2.401754E+18</v>
      </c>
      <c r="G17" s="62">
        <f>Constants!E13</f>
        <v>2.401754E+18</v>
      </c>
    </row>
    <row r="18" spans="2:8" ht="17" thickBot="1">
      <c r="B18" s="169" t="s">
        <v>90</v>
      </c>
      <c r="C18" s="170"/>
      <c r="D18" s="171"/>
      <c r="E18" s="66">
        <f>E17+E14</f>
        <v>2.4074313E+18</v>
      </c>
      <c r="F18" s="63">
        <f>F17+F14</f>
        <v>2.4108432E+18</v>
      </c>
      <c r="G18" s="64">
        <f>G17+G14</f>
        <v>2.4142551E+18</v>
      </c>
    </row>
    <row r="19" spans="2:8">
      <c r="B19" s="43"/>
      <c r="C19" s="43"/>
      <c r="D19" s="43"/>
      <c r="E19" s="36"/>
      <c r="F19" s="36"/>
      <c r="G19" s="36"/>
    </row>
    <row r="20" spans="2:8" ht="17" thickBot="1">
      <c r="B20" s="43"/>
      <c r="C20" s="43"/>
      <c r="D20" s="43"/>
      <c r="E20" s="36"/>
      <c r="F20" s="36"/>
      <c r="G20" s="36"/>
    </row>
    <row r="21" spans="2:8">
      <c r="B21" s="177" t="s">
        <v>91</v>
      </c>
      <c r="C21" s="178"/>
      <c r="D21" s="178"/>
      <c r="E21" s="67">
        <f>E17/E18</f>
        <v>0.99764176032769869</v>
      </c>
      <c r="F21" s="67">
        <f>F17/F18</f>
        <v>0.9962298667951528</v>
      </c>
      <c r="G21" s="68">
        <f>G17/G18</f>
        <v>0.99482196392585021</v>
      </c>
    </row>
    <row r="22" spans="2:8" ht="17" thickBot="1">
      <c r="B22" s="169" t="s">
        <v>92</v>
      </c>
      <c r="C22" s="170"/>
      <c r="D22" s="170"/>
      <c r="E22" s="69">
        <f>1-E21</f>
        <v>2.3582396723013099E-3</v>
      </c>
      <c r="F22" s="69">
        <f>1-F21</f>
        <v>3.7701332048472036E-3</v>
      </c>
      <c r="G22" s="70">
        <f>1-G21</f>
        <v>5.1780360741497944E-3</v>
      </c>
    </row>
    <row r="24" spans="2:8" ht="17" thickBot="1"/>
    <row r="25" spans="2:8" ht="17" thickBot="1">
      <c r="E25" s="71" t="s">
        <v>98</v>
      </c>
      <c r="F25" s="72" t="s">
        <v>99</v>
      </c>
      <c r="G25" s="73" t="s">
        <v>100</v>
      </c>
    </row>
    <row r="26" spans="2:8" ht="17" thickBot="1">
      <c r="B26" s="163" t="s">
        <v>96</v>
      </c>
      <c r="C26" s="164"/>
      <c r="D26" s="165"/>
      <c r="E26" s="74">
        <f>E22*Constants!E7*12</f>
        <v>0.60815841107489899</v>
      </c>
      <c r="F26" s="75">
        <f>F22*Constants!E7*12</f>
        <v>0.97226683374514877</v>
      </c>
      <c r="G26" s="76">
        <f>G22*Constants!E7*12</f>
        <v>1.3353461178398383</v>
      </c>
      <c r="H26" s="77" t="s">
        <v>97</v>
      </c>
    </row>
  </sheetData>
  <mergeCells count="9">
    <mergeCell ref="B26:D26"/>
    <mergeCell ref="B17:D17"/>
    <mergeCell ref="B18:D18"/>
    <mergeCell ref="C3:G3"/>
    <mergeCell ref="B1:G1"/>
    <mergeCell ref="E5:G5"/>
    <mergeCell ref="B21:D21"/>
    <mergeCell ref="B22:D22"/>
    <mergeCell ref="E12:G12"/>
  </mergeCells>
  <hyperlinks>
    <hyperlink ref="C3" r:id="rId1" xr:uid="{8510D36F-5045-3B4E-AA1D-0869536D3F3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5B97-4EED-9145-A76A-2C690B9E22E5}">
  <dimension ref="A1:C15"/>
  <sheetViews>
    <sheetView workbookViewId="0">
      <selection sqref="A1:C1"/>
    </sheetView>
  </sheetViews>
  <sheetFormatPr baseColWidth="10" defaultColWidth="10.83203125" defaultRowHeight="16"/>
  <cols>
    <col min="1" max="1" width="28" bestFit="1" customWidth="1"/>
    <col min="2" max="2" width="12.1640625" bestFit="1" customWidth="1"/>
  </cols>
  <sheetData>
    <row r="1" spans="1:3" ht="24">
      <c r="A1" s="182" t="s">
        <v>122</v>
      </c>
      <c r="B1" s="182"/>
      <c r="C1" s="182"/>
    </row>
    <row r="2" spans="1:3">
      <c r="A2" s="20" t="s">
        <v>125</v>
      </c>
    </row>
    <row r="4" spans="1:3" ht="17" thickBot="1"/>
    <row r="5" spans="1:3">
      <c r="A5" s="46" t="s">
        <v>123</v>
      </c>
      <c r="B5" s="6">
        <v>0.3</v>
      </c>
      <c r="C5" s="10" t="s">
        <v>124</v>
      </c>
    </row>
    <row r="6" spans="1:3">
      <c r="A6" s="4" t="s">
        <v>126</v>
      </c>
      <c r="B6" s="137">
        <f>Constants!E9</f>
        <v>240.56291999999999</v>
      </c>
      <c r="C6" s="8" t="s">
        <v>127</v>
      </c>
    </row>
    <row r="7" spans="1:3">
      <c r="A7" s="4" t="s">
        <v>126</v>
      </c>
      <c r="B7" s="137">
        <f>B6*12</f>
        <v>2886.75504</v>
      </c>
      <c r="C7" s="8" t="s">
        <v>124</v>
      </c>
    </row>
    <row r="8" spans="1:3">
      <c r="A8" s="4" t="s">
        <v>128</v>
      </c>
      <c r="B8" s="2">
        <f>2017-1992+1</f>
        <v>26</v>
      </c>
      <c r="C8" s="8" t="s">
        <v>129</v>
      </c>
    </row>
    <row r="9" spans="1:3">
      <c r="A9" s="4" t="s">
        <v>130</v>
      </c>
      <c r="B9" s="138">
        <f>B5/B7</f>
        <v>1.0392291546843545E-4</v>
      </c>
      <c r="C9" s="8"/>
    </row>
    <row r="10" spans="1:3">
      <c r="A10" s="4" t="s">
        <v>131</v>
      </c>
      <c r="B10" s="139">
        <f>B9/B8</f>
        <v>3.9970352103244404E-6</v>
      </c>
      <c r="C10" s="8"/>
    </row>
    <row r="11" spans="1:3">
      <c r="A11" s="4" t="s">
        <v>139</v>
      </c>
      <c r="B11" s="24">
        <f>1/B10</f>
        <v>250185.4368</v>
      </c>
      <c r="C11" s="8" t="s">
        <v>129</v>
      </c>
    </row>
    <row r="12" spans="1:3">
      <c r="A12" s="4" t="s">
        <v>133</v>
      </c>
      <c r="B12" s="140">
        <f>220*B10</f>
        <v>8.7934774627137688E-4</v>
      </c>
      <c r="C12" s="8" t="s">
        <v>132</v>
      </c>
    </row>
    <row r="13" spans="1:3">
      <c r="A13" s="4" t="s">
        <v>133</v>
      </c>
      <c r="B13" s="141">
        <f>453.592*B12</f>
        <v>0.39886510292672639</v>
      </c>
      <c r="C13" s="8" t="s">
        <v>134</v>
      </c>
    </row>
    <row r="14" spans="1:3">
      <c r="A14" s="4" t="s">
        <v>135</v>
      </c>
      <c r="B14" s="2">
        <v>0.05</v>
      </c>
      <c r="C14" s="8" t="s">
        <v>136</v>
      </c>
    </row>
    <row r="15" spans="1:3" ht="17" thickBot="1">
      <c r="A15" s="45" t="s">
        <v>137</v>
      </c>
      <c r="B15" s="142">
        <f>B13/B14</f>
        <v>7.9773020585345273</v>
      </c>
      <c r="C15" s="11" t="s">
        <v>138</v>
      </c>
    </row>
  </sheetData>
  <mergeCells count="1">
    <mergeCell ref="A1:C1"/>
  </mergeCells>
  <hyperlinks>
    <hyperlink ref="A2" r:id="rId1" display="https://climate.nasa.gov/news/2749/ramp-up-in-antarctic-ice-loss-speeds-sea-level-rise/?fbclid=IwAR2Vnkbxxa-NTU_v0lRUUGGDffMs4Q6BGvHX-KHzcHM7-q2B7IO59wCEiQc" xr:uid="{E5D8C03C-2D55-EA47-84B0-14664875536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F57D-FB78-DB42-BC36-5F7B4BD39053}">
  <dimension ref="A1:H24"/>
  <sheetViews>
    <sheetView workbookViewId="0">
      <selection activeCell="A2" sqref="A2"/>
    </sheetView>
  </sheetViews>
  <sheetFormatPr baseColWidth="10" defaultColWidth="10.83203125" defaultRowHeight="16"/>
  <cols>
    <col min="2" max="2" width="51.33203125" bestFit="1" customWidth="1"/>
    <col min="3" max="3" width="13.33203125" customWidth="1"/>
    <col min="5" max="5" width="11.1640625" bestFit="1" customWidth="1"/>
    <col min="7" max="7" width="13" bestFit="1" customWidth="1"/>
    <col min="8" max="8" width="59.6640625" customWidth="1"/>
  </cols>
  <sheetData>
    <row r="1" spans="1:8" ht="17" thickBot="1"/>
    <row r="2" spans="1:8" ht="17" thickBot="1">
      <c r="A2" s="128" t="s">
        <v>121</v>
      </c>
      <c r="B2" s="129" t="s">
        <v>104</v>
      </c>
      <c r="C2" s="129" t="s">
        <v>50</v>
      </c>
      <c r="D2" s="129" t="s">
        <v>57</v>
      </c>
      <c r="E2" s="129" t="s">
        <v>58</v>
      </c>
      <c r="F2" s="129" t="s">
        <v>49</v>
      </c>
      <c r="G2" s="129" t="s">
        <v>61</v>
      </c>
      <c r="H2" s="130" t="s">
        <v>60</v>
      </c>
    </row>
    <row r="3" spans="1:8" ht="17" thickBot="1">
      <c r="A3" s="115">
        <v>1</v>
      </c>
      <c r="B3" s="18" t="s">
        <v>144</v>
      </c>
      <c r="C3" s="121">
        <f>D3*E3*F3+D3*G3</f>
        <v>386300</v>
      </c>
      <c r="D3" s="18">
        <v>1</v>
      </c>
      <c r="E3" s="17">
        <f>Constants!E2</f>
        <v>2108</v>
      </c>
      <c r="F3" s="116">
        <v>25</v>
      </c>
      <c r="G3" s="19">
        <f>Constants!E5</f>
        <v>333600</v>
      </c>
      <c r="H3" s="117" t="s">
        <v>140</v>
      </c>
    </row>
    <row r="4" spans="1:8" ht="17" thickBot="1">
      <c r="A4" s="115">
        <v>1</v>
      </c>
      <c r="B4" s="18" t="s">
        <v>141</v>
      </c>
      <c r="C4" s="19">
        <f>C3</f>
        <v>386300</v>
      </c>
      <c r="D4" s="18">
        <f>D3</f>
        <v>1</v>
      </c>
      <c r="E4" s="17">
        <f>Constants!E3</f>
        <v>3850</v>
      </c>
      <c r="F4" s="33">
        <f>C4/(D4*E4)</f>
        <v>100.33766233766234</v>
      </c>
      <c r="G4" s="18"/>
      <c r="H4" s="118" t="s">
        <v>142</v>
      </c>
    </row>
    <row r="5" spans="1:8" ht="17" thickBot="1">
      <c r="A5" s="115" t="s">
        <v>112</v>
      </c>
      <c r="B5" s="18" t="s">
        <v>56</v>
      </c>
      <c r="C5" s="19">
        <f>'Energy Above or Below 0C'!G5</f>
        <v>1.3210209091105602E+25</v>
      </c>
      <c r="D5" s="19">
        <f>Constants!E19</f>
        <v>1.8025E+18</v>
      </c>
      <c r="E5" s="17">
        <f>Constants!E4</f>
        <v>1005</v>
      </c>
      <c r="F5" s="33">
        <f>C5/(D5*E5)</f>
        <v>7292.3643039203989</v>
      </c>
      <c r="G5" s="34"/>
      <c r="H5" s="118" t="s">
        <v>111</v>
      </c>
    </row>
    <row r="6" spans="1:8" ht="17" thickBot="1">
      <c r="A6" s="115" t="s">
        <v>113</v>
      </c>
      <c r="B6" s="18" t="s">
        <v>59</v>
      </c>
      <c r="C6" s="19">
        <f>'Energy Above or Below 0C'!G5</f>
        <v>1.3210209091105602E+25</v>
      </c>
      <c r="D6" s="19">
        <f>Constants!E17</f>
        <v>5.15E+18</v>
      </c>
      <c r="E6" s="17">
        <f>Constants!E4</f>
        <v>1005</v>
      </c>
      <c r="F6" s="33">
        <f>C6/(D6*E6)</f>
        <v>2552.3275063721399</v>
      </c>
      <c r="G6" s="34"/>
      <c r="H6" s="118" t="s">
        <v>78</v>
      </c>
    </row>
    <row r="7" spans="1:8" ht="17" thickBot="1">
      <c r="A7" s="115" t="s">
        <v>114</v>
      </c>
      <c r="B7" s="18" t="s">
        <v>79</v>
      </c>
      <c r="C7" s="35">
        <f>D7*E7*F7</f>
        <v>1.8115125E+21</v>
      </c>
      <c r="D7" s="19">
        <f>Constants!E19</f>
        <v>1.8025E+18</v>
      </c>
      <c r="E7" s="17">
        <f>Constants!E4</f>
        <v>1005</v>
      </c>
      <c r="F7" s="18">
        <v>1</v>
      </c>
      <c r="G7" s="18"/>
      <c r="H7" s="118"/>
    </row>
    <row r="8" spans="1:8" ht="17" thickBot="1">
      <c r="A8" s="115" t="s">
        <v>115</v>
      </c>
      <c r="B8" s="18" t="s">
        <v>80</v>
      </c>
      <c r="C8" s="35">
        <f>D8*E8*F8</f>
        <v>7.2460500000000002E+21</v>
      </c>
      <c r="D8" s="19">
        <f>Constants!E19</f>
        <v>1.8025E+18</v>
      </c>
      <c r="E8" s="17">
        <f>Constants!E4</f>
        <v>1005</v>
      </c>
      <c r="F8" s="18">
        <v>4</v>
      </c>
      <c r="G8" s="18"/>
      <c r="H8" s="118"/>
    </row>
    <row r="9" spans="1:8" ht="17" thickBot="1">
      <c r="A9" s="115" t="s">
        <v>116</v>
      </c>
      <c r="B9" s="18" t="s">
        <v>143</v>
      </c>
      <c r="C9" s="19">
        <f>'Energy Above or Below 0C'!G5</f>
        <v>1.3210209091105602E+25</v>
      </c>
      <c r="D9" s="19">
        <f>Constants!E16*0.1</f>
        <v>1.338E+20</v>
      </c>
      <c r="E9" s="17">
        <f>Constants!E3</f>
        <v>3850</v>
      </c>
      <c r="F9" s="33">
        <f>C9/(D9*E9)</f>
        <v>25.644418090784079</v>
      </c>
      <c r="G9" s="18"/>
      <c r="H9" s="118" t="s">
        <v>145</v>
      </c>
    </row>
    <row r="10" spans="1:8">
      <c r="A10" s="122"/>
      <c r="B10" s="123"/>
      <c r="C10" s="123"/>
      <c r="D10" s="123"/>
      <c r="E10" s="123"/>
      <c r="F10" s="123"/>
      <c r="G10" s="123"/>
      <c r="H10" s="124"/>
    </row>
    <row r="11" spans="1:8" ht="17" thickBot="1">
      <c r="A11" s="122"/>
      <c r="B11" s="123"/>
      <c r="C11" s="131" t="s">
        <v>73</v>
      </c>
      <c r="D11" s="131" t="s">
        <v>64</v>
      </c>
      <c r="E11" s="131" t="s">
        <v>65</v>
      </c>
      <c r="F11" s="131" t="s">
        <v>66</v>
      </c>
      <c r="G11" s="123"/>
      <c r="H11" s="124"/>
    </row>
    <row r="12" spans="1:8" ht="17" thickBot="1">
      <c r="A12" s="115" t="s">
        <v>114</v>
      </c>
      <c r="B12" s="18" t="s">
        <v>74</v>
      </c>
      <c r="C12" s="19">
        <f>C7</f>
        <v>1.8115125E+21</v>
      </c>
      <c r="D12" s="19">
        <f>'Energy Above or Below 0C'!G5</f>
        <v>1.3210209091105602E+25</v>
      </c>
      <c r="E12" s="119">
        <f>C12/D12</f>
        <v>1.3712973712275958E-4</v>
      </c>
      <c r="F12" s="40">
        <f>Constants!E11*Scenarios!E12*12</f>
        <v>0.43122388143848356</v>
      </c>
      <c r="G12" s="18"/>
      <c r="H12" s="118" t="s">
        <v>105</v>
      </c>
    </row>
    <row r="13" spans="1:8" ht="17" thickBot="1">
      <c r="A13" s="115" t="s">
        <v>115</v>
      </c>
      <c r="B13" s="18" t="s">
        <v>75</v>
      </c>
      <c r="C13" s="19">
        <f>C8</f>
        <v>7.2460500000000002E+21</v>
      </c>
      <c r="D13" s="19">
        <f>'Energy Above or Below 0C'!G5</f>
        <v>1.3210209091105602E+25</v>
      </c>
      <c r="E13" s="119">
        <f>C13/D13</f>
        <v>5.4851894849103832E-4</v>
      </c>
      <c r="F13" s="40">
        <f>Constants!E11*Scenarios!E13*12</f>
        <v>1.7248955257539342</v>
      </c>
      <c r="G13" s="18"/>
      <c r="H13" s="118" t="s">
        <v>106</v>
      </c>
    </row>
    <row r="14" spans="1:8" ht="17" thickBot="1">
      <c r="A14" s="115" t="s">
        <v>117</v>
      </c>
      <c r="B14" s="18" t="s">
        <v>76</v>
      </c>
      <c r="C14" s="19">
        <f>'Energy Above or Below 0C'!G6</f>
        <v>1.44921E+22</v>
      </c>
      <c r="D14" s="19">
        <f>'Energy Above or Below 0C'!G5</f>
        <v>1.3210209091105602E+25</v>
      </c>
      <c r="E14" s="119">
        <f>C14/D14</f>
        <v>1.0970378969820766E-3</v>
      </c>
      <c r="F14" s="40">
        <f>Constants!E11*Scenarios!E14*12</f>
        <v>3.4497910515078685</v>
      </c>
      <c r="G14" s="18"/>
      <c r="H14" s="118" t="s">
        <v>77</v>
      </c>
    </row>
    <row r="15" spans="1:8" ht="17" thickBot="1">
      <c r="A15" s="115" t="s">
        <v>120</v>
      </c>
      <c r="B15" s="18" t="s">
        <v>93</v>
      </c>
      <c r="C15" s="19"/>
      <c r="D15" s="19"/>
      <c r="E15" s="119"/>
      <c r="F15" s="40">
        <f>'Greenland Ice Loss 1900-2015'!F22*Constants!E7*12</f>
        <v>0.97226683374514877</v>
      </c>
      <c r="G15" s="18"/>
      <c r="H15" s="118"/>
    </row>
    <row r="16" spans="1:8">
      <c r="A16" s="122"/>
      <c r="B16" s="123"/>
      <c r="C16" s="123"/>
      <c r="D16" s="123"/>
      <c r="E16" s="123"/>
      <c r="F16" s="123"/>
      <c r="G16" s="123"/>
      <c r="H16" s="124"/>
    </row>
    <row r="17" spans="1:8" ht="17" thickBot="1">
      <c r="A17" s="122"/>
      <c r="B17" s="123"/>
      <c r="C17" s="131" t="s">
        <v>63</v>
      </c>
      <c r="D17" s="131" t="s">
        <v>64</v>
      </c>
      <c r="E17" s="131" t="s">
        <v>65</v>
      </c>
      <c r="F17" s="131" t="s">
        <v>66</v>
      </c>
      <c r="G17" s="131" t="s">
        <v>68</v>
      </c>
      <c r="H17" s="124"/>
    </row>
    <row r="18" spans="1:8" ht="17" thickBot="1">
      <c r="A18" s="115" t="s">
        <v>118</v>
      </c>
      <c r="B18" s="18" t="s">
        <v>62</v>
      </c>
      <c r="C18" s="19">
        <f>2425*4184000000000000</f>
        <v>1.01462E+19</v>
      </c>
      <c r="D18" s="19">
        <f>'Energy Above or Below 0C'!G5</f>
        <v>1.3210209091105602E+25</v>
      </c>
      <c r="E18" s="120">
        <f>C18/D18</f>
        <v>7.6805748720748173E-7</v>
      </c>
      <c r="F18" s="37">
        <f>Constants!E11*E18*12</f>
        <v>2.4152655561864144E-3</v>
      </c>
      <c r="G18" s="18"/>
      <c r="H18" s="118"/>
    </row>
    <row r="19" spans="1:8" ht="17" thickBot="1">
      <c r="A19" s="115" t="s">
        <v>118</v>
      </c>
      <c r="B19" s="18" t="s">
        <v>67</v>
      </c>
      <c r="C19" s="18"/>
      <c r="D19" s="18"/>
      <c r="E19" s="18"/>
      <c r="F19" s="18"/>
      <c r="G19" s="38">
        <f>1/E18</f>
        <v>1301985.8756091543</v>
      </c>
      <c r="H19" s="118"/>
    </row>
    <row r="20" spans="1:8">
      <c r="A20" s="122"/>
      <c r="B20" s="123"/>
      <c r="C20" s="123"/>
      <c r="D20" s="123"/>
      <c r="E20" s="123"/>
      <c r="F20" s="123"/>
      <c r="G20" s="123"/>
      <c r="H20" s="124"/>
    </row>
    <row r="21" spans="1:8" ht="17" thickBot="1">
      <c r="A21" s="122"/>
      <c r="B21" s="123"/>
      <c r="C21" s="131" t="s">
        <v>70</v>
      </c>
      <c r="D21" s="131" t="s">
        <v>64</v>
      </c>
      <c r="E21" s="131" t="s">
        <v>65</v>
      </c>
      <c r="F21" s="131" t="s">
        <v>66</v>
      </c>
      <c r="G21" s="131" t="s">
        <v>71</v>
      </c>
      <c r="H21" s="124"/>
    </row>
    <row r="22" spans="1:8" ht="17" thickBot="1">
      <c r="A22" s="115" t="s">
        <v>119</v>
      </c>
      <c r="B22" s="18" t="s">
        <v>69</v>
      </c>
      <c r="C22" s="19">
        <f>25000000000000000*3600</f>
        <v>9E+19</v>
      </c>
      <c r="D22" s="19">
        <f>'Energy Above or Below 0C'!G5</f>
        <v>1.3210209091105602E+25</v>
      </c>
      <c r="E22" s="120">
        <f>C22/D22</f>
        <v>6.8129126026170739E-6</v>
      </c>
      <c r="F22" s="39">
        <f>Constants!E11*Scenarios!E22*12</f>
        <v>2.1424168659870423E-2</v>
      </c>
      <c r="G22" s="18"/>
      <c r="H22" s="118"/>
    </row>
    <row r="23" spans="1:8" ht="17" thickBot="1">
      <c r="A23" s="115" t="s">
        <v>119</v>
      </c>
      <c r="B23" s="18" t="s">
        <v>72</v>
      </c>
      <c r="C23" s="18"/>
      <c r="D23" s="18"/>
      <c r="E23" s="18"/>
      <c r="F23" s="18"/>
      <c r="G23" s="38">
        <f>1/E22</f>
        <v>146780.10101228446</v>
      </c>
      <c r="H23" s="118"/>
    </row>
    <row r="24" spans="1:8" ht="17" thickBot="1">
      <c r="A24" s="125"/>
      <c r="B24" s="126"/>
      <c r="C24" s="126"/>
      <c r="D24" s="126"/>
      <c r="E24" s="126"/>
      <c r="F24" s="126"/>
      <c r="G24" s="126"/>
      <c r="H24" s="127"/>
    </row>
  </sheetData>
  <pageMargins left="0.7" right="0.7" top="0.75" bottom="0.75" header="0.3" footer="0.3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Constants</vt:lpstr>
      <vt:lpstr>Energy Above or Below 0C</vt:lpstr>
      <vt:lpstr>Greenland Ice Loss 1900-2015</vt:lpstr>
      <vt:lpstr>Antarctica Ice Loss</vt:lpstr>
      <vt:lpstr>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Ward</dc:creator>
  <cp:lastModifiedBy>William Ward</cp:lastModifiedBy>
  <cp:lastPrinted>2018-12-31T23:54:04Z</cp:lastPrinted>
  <dcterms:created xsi:type="dcterms:W3CDTF">2018-02-22T20:23:54Z</dcterms:created>
  <dcterms:modified xsi:type="dcterms:W3CDTF">2019-04-08T02:39:38Z</dcterms:modified>
</cp:coreProperties>
</file>